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seccentral-my.sharepoint.com/personal/admin_secretariatcentral_com/Documents/SC Associations/CACPR/Financial/Budget/2023/"/>
    </mc:Choice>
  </mc:AlternateContent>
  <xr:revisionPtr revIDLastSave="17" documentId="8_{B0023546-3B3B-477A-A2CB-6534FCDEEF2C}" xr6:coauthVersionLast="47" xr6:coauthVersionMax="47" xr10:uidLastSave="{D5E5979E-9B89-48F8-B39D-7BEB0B01908A}"/>
  <bookViews>
    <workbookView xWindow="28680" yWindow="-120" windowWidth="29040" windowHeight="15840" xr2:uid="{00000000-000D-0000-FFFF-FFFF00000000}"/>
  </bookViews>
  <sheets>
    <sheet name="Budget23" sheetId="2" r:id="rId1"/>
    <sheet name="Conf23" sheetId="8" r:id="rId2"/>
    <sheet name="BayerMulti" sheetId="9" r:id="rId3"/>
    <sheet name="Bayer (CRR)" sheetId="10" r:id="rId4"/>
  </sheets>
  <definedNames>
    <definedName name="_xlnm.Print_Area" localSheetId="2">BayerMulti!$A$1:$B$69</definedName>
    <definedName name="QB_COLUMN_59200" localSheetId="0" hidden="1">Budget23!#REF!</definedName>
    <definedName name="QB_COLUMN_61210" localSheetId="0" hidden="1">Budget23!#REF!</definedName>
    <definedName name="QB_COLUMN_63620" localSheetId="0" hidden="1">Budget23!#REF!</definedName>
    <definedName name="QB_COLUMN_64830" localSheetId="0" hidden="1">Budget23!#REF!</definedName>
    <definedName name="QB_DATA_0" localSheetId="0" hidden="1">Budget23!$7:$7,Budget23!#REF!,Budget23!#REF!,Budget23!#REF!,Budget23!$21:$21,Budget23!$22:$22,Budget23!#REF!,Budget23!$24:$24,Budget23!$46:$46,Budget23!#REF!,Budget23!#REF!,Budget23!$47:$47,Budget23!$48:$48,Budget23!#REF!,Budget23!$49:$49,Budget23!$50:$50</definedName>
    <definedName name="QB_DATA_1" localSheetId="0" hidden="1">Budget23!#REF!,Budget23!#REF!</definedName>
    <definedName name="QB_FORMULA_0" localSheetId="0" hidden="1">Budget23!#REF!,Budget23!#REF!,Budget23!#REF!,Budget23!#REF!,Budget23!#REF!,Budget23!#REF!,Budget23!#REF!,Budget23!#REF!,Budget23!#REF!,Budget23!#REF!,Budget23!#REF!,Budget23!#REF!,Budget23!#REF!,Budget23!#REF!,Budget23!#REF!,Budget23!#REF!</definedName>
    <definedName name="QB_FORMULA_1" localSheetId="0" hidden="1">Budget23!#REF!,Budget23!#REF!,Budget23!#REF!,Budget23!#REF!,Budget23!#REF!,Budget23!#REF!,Budget23!#REF!,Budget23!#REF!,Budget23!#REF!,Budget23!#REF!,Budget23!#REF!,Budget23!#REF!,Budget23!#REF!,Budget23!#REF!,Budget23!#REF!,Budget23!#REF!</definedName>
    <definedName name="QB_FORMULA_2" localSheetId="0" hidden="1">Budget23!#REF!,Budget23!#REF!,Budget23!#REF!,Budget23!#REF!,Budget23!#REF!,Budget23!#REF!,Budget23!#REF!,Budget23!#REF!,Budget23!#REF!,Budget23!#REF!,Budget23!#REF!,Budget23!#REF!,Budget23!#REF!,Budget23!#REF!,Budget23!#REF!,Budget23!#REF!</definedName>
    <definedName name="QB_FORMULA_3" localSheetId="0" hidden="1">Budget23!#REF!,Budget23!#REF!,Budget23!#REF!,Budget23!#REF!,Budget23!#REF!,Budget23!#REF!,Budget23!#REF!,Budget23!#REF!,Budget23!#REF!,Budget23!#REF!,Budget23!#REF!,Budget23!#REF!</definedName>
    <definedName name="QB_ROW_104340" localSheetId="0" hidden="1">Budget23!#REF!</definedName>
    <definedName name="QB_ROW_141240" localSheetId="0" hidden="1">Budget23!#REF!</definedName>
    <definedName name="QB_ROW_142240" localSheetId="0" hidden="1">Budget23!#REF!</definedName>
    <definedName name="QB_ROW_169240" localSheetId="0" hidden="1">Budget23!#REF!</definedName>
    <definedName name="QB_ROW_171340" localSheetId="0" hidden="1">Budget23!#REF!</definedName>
    <definedName name="QB_ROW_173240" localSheetId="0" hidden="1">Budget23!#REF!</definedName>
    <definedName name="QB_ROW_174340" localSheetId="0" hidden="1">Budget23!#REF!</definedName>
    <definedName name="QB_ROW_18301" localSheetId="0" hidden="1">Budget23!#REF!</definedName>
    <definedName name="QB_ROW_183040" localSheetId="0" hidden="1">Budget23!#REF!</definedName>
    <definedName name="QB_ROW_183340" localSheetId="0" hidden="1">Budget23!#REF!</definedName>
    <definedName name="QB_ROW_184250" localSheetId="0" hidden="1">Budget23!#REF!</definedName>
    <definedName name="QB_ROW_185250" localSheetId="0" hidden="1">Budget23!#REF!</definedName>
    <definedName name="QB_ROW_186240" localSheetId="0" hidden="1">Budget23!#REF!</definedName>
    <definedName name="QB_ROW_188340" localSheetId="0" hidden="1">Budget23!#REF!</definedName>
    <definedName name="QB_ROW_19011" localSheetId="0" hidden="1">Budget23!#REF!</definedName>
    <definedName name="QB_ROW_190240" localSheetId="0" hidden="1">Budget23!#REF!</definedName>
    <definedName name="QB_ROW_192240" localSheetId="0" hidden="1">Budget23!#REF!</definedName>
    <definedName name="QB_ROW_19311" localSheetId="0" hidden="1">Budget23!#REF!</definedName>
    <definedName name="QB_ROW_20031" localSheetId="0" hidden="1">Budget23!#REF!</definedName>
    <definedName name="QB_ROW_20331" localSheetId="0" hidden="1">Budget23!#REF!</definedName>
    <definedName name="QB_ROW_21031" localSheetId="0" hidden="1">Budget23!#REF!</definedName>
    <definedName name="QB_ROW_21331" localSheetId="0" hidden="1">Budget23!#REF!</definedName>
    <definedName name="QB_ROW_30240" localSheetId="0" hidden="1">Budget23!#REF!</definedName>
    <definedName name="QB_ROW_35240" localSheetId="0" hidden="1">Budget23!#REF!</definedName>
    <definedName name="QB_ROW_48240" localSheetId="0" hidden="1">Budget23!#REF!</definedName>
    <definedName name="QB_ROW_58240" localSheetId="0" hidden="1">Budget23!#REF!</definedName>
    <definedName name="QB_ROW_67340" localSheetId="0" hidden="1">Budget23!#REF!</definedName>
    <definedName name="QB_ROW_86321" localSheetId="0" hidden="1">Budget23!#REF!</definedName>
    <definedName name="QBCANSUPPORTUPDATE" localSheetId="0">TRUE</definedName>
    <definedName name="QBCOMPANYFILENAME" localSheetId="0">"S:\QB\Company Files\OMSOC.qbw"</definedName>
    <definedName name="QBENDDATE" localSheetId="0">20151231</definedName>
    <definedName name="QBHEADERSONSCREEN" localSheetId="0">FALSE</definedName>
    <definedName name="QBMETADATASIZE" localSheetId="0">5899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"ef365205a1424d5d82b0c1eb501dcf73"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6</definedName>
    <definedName name="QBSTARTDATE" localSheetId="0">20150101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2" l="1"/>
  <c r="I47" i="2"/>
  <c r="H47" i="2"/>
  <c r="L9" i="2"/>
  <c r="L30" i="2"/>
  <c r="L42" i="2"/>
  <c r="L33" i="2"/>
  <c r="L13" i="2"/>
  <c r="J42" i="2"/>
  <c r="J30" i="2"/>
  <c r="J40" i="2"/>
  <c r="J9" i="2"/>
  <c r="H22" i="8"/>
  <c r="H23" i="8" s="1"/>
  <c r="H9" i="8"/>
  <c r="B24" i="9"/>
  <c r="C19" i="10"/>
  <c r="B8" i="10"/>
  <c r="C56" i="10"/>
  <c r="C52" i="10"/>
  <c r="C51" i="10"/>
  <c r="C58" i="10"/>
  <c r="B10" i="10"/>
  <c r="B7" i="10"/>
  <c r="B48" i="10"/>
  <c r="L8" i="2"/>
  <c r="L29" i="2" s="1"/>
  <c r="J27" i="2"/>
  <c r="H44" i="2"/>
  <c r="H20" i="2"/>
  <c r="H45" i="2" l="1"/>
  <c r="H49" i="2" s="1"/>
  <c r="I22" i="8"/>
  <c r="I9" i="8"/>
  <c r="B18" i="9"/>
  <c r="B26" i="10"/>
  <c r="B58" i="10"/>
  <c r="C57" i="10"/>
  <c r="C55" i="10"/>
  <c r="C54" i="10"/>
  <c r="C53" i="10"/>
  <c r="B42" i="10"/>
  <c r="B44" i="10" s="1"/>
  <c r="B33" i="10"/>
  <c r="B30" i="10"/>
  <c r="B34" i="10" s="1"/>
  <c r="C20" i="10"/>
  <c r="C21" i="10" s="1"/>
  <c r="B3" i="10"/>
  <c r="B5" i="10" s="1"/>
  <c r="I23" i="8" l="1"/>
  <c r="B6" i="10"/>
  <c r="B21" i="10" l="1"/>
  <c r="B9" i="10" s="1"/>
  <c r="B11" i="10" s="1"/>
  <c r="F44" i="2" l="1"/>
  <c r="G38" i="2"/>
  <c r="G33" i="2"/>
  <c r="G7" i="2"/>
  <c r="G20" i="2" s="1"/>
  <c r="F20" i="2"/>
  <c r="G44" i="2" l="1"/>
  <c r="F45" i="2"/>
  <c r="F49" i="2" s="1"/>
  <c r="G47" i="2" s="1"/>
  <c r="G45" i="2"/>
  <c r="G49" i="2" s="1"/>
  <c r="J20" i="2" l="1"/>
  <c r="B12" i="9"/>
  <c r="B67" i="9" l="1"/>
  <c r="B50" i="9"/>
  <c r="B30" i="9" s="1"/>
  <c r="L40" i="2" s="1"/>
  <c r="B6" i="9"/>
  <c r="B26" i="9" s="1"/>
  <c r="G22" i="8"/>
  <c r="G9" i="8"/>
  <c r="B58" i="9" l="1"/>
  <c r="B31" i="9" s="1"/>
  <c r="B39" i="9"/>
  <c r="B29" i="9" s="1"/>
  <c r="B32" i="9"/>
  <c r="L27" i="2" s="1"/>
  <c r="G23" i="8"/>
  <c r="B33" i="9" l="1"/>
  <c r="E22" i="8"/>
  <c r="D22" i="8"/>
  <c r="F20" i="8"/>
  <c r="F22" i="8" s="1"/>
  <c r="C18" i="8"/>
  <c r="C22" i="8" s="1"/>
  <c r="K22" i="8"/>
  <c r="L37" i="2" s="1"/>
  <c r="K9" i="8"/>
  <c r="L17" i="2" s="1"/>
  <c r="F9" i="8"/>
  <c r="E9" i="8"/>
  <c r="E23" i="8" s="1"/>
  <c r="D9" i="8"/>
  <c r="C9" i="8"/>
  <c r="D23" i="8" l="1"/>
  <c r="L20" i="2"/>
  <c r="F23" i="8"/>
  <c r="C23" i="8"/>
  <c r="K23" i="8"/>
  <c r="L44" i="2" l="1"/>
  <c r="I44" i="2"/>
  <c r="I20" i="2"/>
  <c r="J44" i="2"/>
  <c r="I45" i="2" l="1"/>
  <c r="I49" i="2" s="1"/>
  <c r="L45" i="2"/>
  <c r="J45" i="2"/>
  <c r="J49" i="2" s="1"/>
  <c r="L47" i="2" s="1"/>
  <c r="L49" i="2" l="1"/>
</calcChain>
</file>

<file path=xl/sharedStrings.xml><?xml version="1.0" encoding="utf-8"?>
<sst xmlns="http://schemas.openxmlformats.org/spreadsheetml/2006/main" count="214" uniqueCount="169">
  <si>
    <t>Fund Balance, End of Year</t>
  </si>
  <si>
    <t>Fund Balance, Beginning of Year</t>
  </si>
  <si>
    <t>no travel covered; all of this for promotion and membership drive</t>
  </si>
  <si>
    <t>Travel and promotion</t>
  </si>
  <si>
    <t>Telephone &amp; fax</t>
  </si>
  <si>
    <t>Spring conference</t>
  </si>
  <si>
    <t>Publications - guidelines</t>
  </si>
  <si>
    <t>Office supplies, postage &amp; printing</t>
  </si>
  <si>
    <t>Membership dues</t>
  </si>
  <si>
    <t>Insurance</t>
  </si>
  <si>
    <t>Secretariat Central service fees per contract</t>
  </si>
  <si>
    <t>Cardiac registry</t>
  </si>
  <si>
    <t>Bank &amp; credit card charges</t>
  </si>
  <si>
    <t>Audit fees</t>
  </si>
  <si>
    <t>Annual symposium</t>
  </si>
  <si>
    <t>Air quality project expenses</t>
  </si>
  <si>
    <t>Expense</t>
  </si>
  <si>
    <t>Spring Conference</t>
  </si>
  <si>
    <t>Miscellaneous income</t>
  </si>
  <si>
    <t>Memberships</t>
  </si>
  <si>
    <t>Investment income</t>
  </si>
  <si>
    <t>Health Canada funding</t>
  </si>
  <si>
    <t>Revenue</t>
  </si>
  <si>
    <t>Canadian Association of Cardiovascular Prevention and Rehabilitation</t>
  </si>
  <si>
    <t>fee for membership database subscription, ICCPR</t>
  </si>
  <si>
    <t>Miscellaneous expense</t>
  </si>
  <si>
    <t>Management Fees</t>
  </si>
  <si>
    <t>Toronto</t>
  </si>
  <si>
    <t>Calgary</t>
  </si>
  <si>
    <t>Moncton</t>
  </si>
  <si>
    <t>Registration</t>
  </si>
  <si>
    <t>Sponsorship</t>
  </si>
  <si>
    <t>Accreditation</t>
  </si>
  <si>
    <t>Credit Card Fees</t>
  </si>
  <si>
    <t>Venue, F&amp;B</t>
  </si>
  <si>
    <t>Surplus</t>
  </si>
  <si>
    <t>Journal Subscriptions</t>
  </si>
  <si>
    <t>Saskatoon</t>
  </si>
  <si>
    <t>see conference tab for details</t>
  </si>
  <si>
    <t>shipping of hard copy Guidelines</t>
  </si>
  <si>
    <t>Awards</t>
  </si>
  <si>
    <t>CV Edge</t>
  </si>
  <si>
    <t>JCRP</t>
  </si>
  <si>
    <t>Website</t>
  </si>
  <si>
    <t>Bayer - Cardiac Residual Risk Project</t>
  </si>
  <si>
    <t>Bayer - Multi-Project Grant</t>
  </si>
  <si>
    <t>Cardiac residual risk project</t>
  </si>
  <si>
    <t>meetings for Guidelines Position Statement (Bayer)</t>
  </si>
  <si>
    <t>Social/Dinner</t>
  </si>
  <si>
    <t>Expenses</t>
  </si>
  <si>
    <t>Audio Visual</t>
  </si>
  <si>
    <t>Speaker Expenses</t>
  </si>
  <si>
    <t>Supplies &amp; Misc</t>
  </si>
  <si>
    <t>Staff Travel</t>
  </si>
  <si>
    <t>Live Streaming</t>
  </si>
  <si>
    <t>Compilation</t>
  </si>
  <si>
    <t>Excess of Revenue over Expenses</t>
  </si>
  <si>
    <t>D&amp;O, General Liab. (Consider need for E&amp;O)</t>
  </si>
  <si>
    <t>Virtual</t>
  </si>
  <si>
    <t>Bayer MultiProject Financial Summary</t>
  </si>
  <si>
    <t>Bayer Approved Grant</t>
  </si>
  <si>
    <t>Training Modules</t>
  </si>
  <si>
    <t>Webinars</t>
  </si>
  <si>
    <t>Systematic Review</t>
  </si>
  <si>
    <t>online - 6pgs - produced quarterly</t>
  </si>
  <si>
    <t>2020 Actual</t>
  </si>
  <si>
    <t>Annual Cost</t>
  </si>
  <si>
    <t>Interactive Advanced Training Modules</t>
  </si>
  <si>
    <t>approx 90 slides/module (run time approx. 1 hour)</t>
  </si>
  <si>
    <t>Sync Narration ($1,000ea)</t>
  </si>
  <si>
    <t>Upload design to Moodle ($200ea)</t>
  </si>
  <si>
    <t>Accreditation ($500ea)</t>
  </si>
  <si>
    <t>SC Admin (Marketing, Registration, Accounting) ($1,000ea)</t>
  </si>
  <si>
    <t>Webinar Development</t>
  </si>
  <si>
    <t>approx 60 min long</t>
  </si>
  <si>
    <t>Vimeo Subscription</t>
  </si>
  <si>
    <t>Webinar Delivery (Zoom upgrade)</t>
  </si>
  <si>
    <t>Systematic Review for Guidelines</t>
  </si>
  <si>
    <t>Meeting - one in-person (venue, travel)</t>
  </si>
  <si>
    <t>Meetings - 6-8 virtual (communications expense)</t>
  </si>
  <si>
    <t xml:space="preserve">Administration/Coordination of Meetings </t>
  </si>
  <si>
    <t xml:space="preserve">Publish with open access </t>
  </si>
  <si>
    <t>Total Cost</t>
  </si>
  <si>
    <t>2 issues of CV Edge - 2019</t>
  </si>
  <si>
    <t>Webinar Coordination - 2019</t>
  </si>
  <si>
    <t>CV Edge 2020</t>
  </si>
  <si>
    <t>Training Modules 2020</t>
  </si>
  <si>
    <t>Webinars 2020</t>
  </si>
  <si>
    <t>Systematic Review 2020</t>
  </si>
  <si>
    <t>Spent in 2019</t>
  </si>
  <si>
    <t>Spent in 2020</t>
  </si>
  <si>
    <t>Balance Forward 2021</t>
  </si>
  <si>
    <t>Board expenses - Systematic Review</t>
  </si>
  <si>
    <t>Donations &amp; Misc</t>
  </si>
  <si>
    <t xml:space="preserve">funded by Bayer </t>
  </si>
  <si>
    <t>Graphic Design, Editing, Proofreading ($1,000ea)</t>
  </si>
  <si>
    <t>2019 Actual</t>
  </si>
  <si>
    <t xml:space="preserve">Air Quality Project   </t>
  </si>
  <si>
    <t>2022 Budget</t>
  </si>
  <si>
    <t>Bayer Cardiac Residual Risk Project Financial Summary</t>
  </si>
  <si>
    <t>From 2019</t>
  </si>
  <si>
    <t>Project Expenses 2019 (IT Development)</t>
  </si>
  <si>
    <t>Balance Forward 2020</t>
  </si>
  <si>
    <t>Project Expenses 2020</t>
  </si>
  <si>
    <t>Element</t>
  </si>
  <si>
    <t xml:space="preserve">Development of vascular risk algorithm </t>
  </si>
  <si>
    <t>IT Development</t>
  </si>
  <si>
    <r>
      <t xml:space="preserve">IT </t>
    </r>
    <r>
      <rPr>
        <sz val="11"/>
        <color rgb="FF000000"/>
        <rFont val="Calibri"/>
        <family val="2"/>
      </rPr>
      <t>Consulting /QA/Pilot testing</t>
    </r>
  </si>
  <si>
    <t>Training of 4 Cardiologica sites on use of educational tools</t>
  </si>
  <si>
    <t>Project management/outcomes reporting</t>
  </si>
  <si>
    <t>Toronto Project Coordination/Administration</t>
  </si>
  <si>
    <t>London Project Coordination/Administration</t>
  </si>
  <si>
    <t>Total</t>
  </si>
  <si>
    <t>Transactions 2019</t>
  </si>
  <si>
    <t xml:space="preserve">Invoice 1 of 3 (33%) Cardiologica Vascular Risk Dashboard </t>
  </si>
  <si>
    <t>CTC Communications</t>
  </si>
  <si>
    <t>Admin Support</t>
  </si>
  <si>
    <t>Secretariat Central</t>
  </si>
  <si>
    <t>TOTAL TRANSACTIONS 2019</t>
  </si>
  <si>
    <t>Transactions 2020</t>
  </si>
  <si>
    <t>Cardiac Registry System Update - server maint 2020, security, capacity upgrade, data transfer mechanism</t>
  </si>
  <si>
    <t>Q-STATISTIC</t>
  </si>
  <si>
    <t>Admin support</t>
  </si>
  <si>
    <t xml:space="preserve">Invoice 2 of 3 (33%) Cardiologica Vascular Risk Dashboard </t>
  </si>
  <si>
    <t xml:space="preserve">Invoice 3 of 3 (33%) Cardiologica Vascular Risk Dashboard </t>
  </si>
  <si>
    <t>Legal Fees - Registry MOU Discussions and updates</t>
  </si>
  <si>
    <t>Perly-Robertson, Hill &amp; McDougall LLP</t>
  </si>
  <si>
    <t>Transactions 2021</t>
  </si>
  <si>
    <t>Admin support - Jan21</t>
  </si>
  <si>
    <t>Admin support - Feb21</t>
  </si>
  <si>
    <t>Admin support - Mar21</t>
  </si>
  <si>
    <t>Admin support - Apr21</t>
  </si>
  <si>
    <t>Admin support - Jul21</t>
  </si>
  <si>
    <t>Project Budget</t>
  </si>
  <si>
    <t>Total to date</t>
  </si>
  <si>
    <t>bal of Bayer $112,680 contracted in 2019</t>
  </si>
  <si>
    <t>CV Edge 2021</t>
  </si>
  <si>
    <t>Training Modules 2021</t>
  </si>
  <si>
    <t>Webinars 2021</t>
  </si>
  <si>
    <t>Systematic Review 2021</t>
  </si>
  <si>
    <t>Balance Forward 2022</t>
  </si>
  <si>
    <t>Translation/Design/Admin ($500/issue)</t>
  </si>
  <si>
    <t>delivery/admin ($950/webinar)</t>
  </si>
  <si>
    <t>Project Expenses 2021</t>
  </si>
  <si>
    <t>Spent in 2021</t>
  </si>
  <si>
    <t>2021 Actual</t>
  </si>
  <si>
    <t>2023 Budget</t>
  </si>
  <si>
    <t>2022 Actual and Budget 2023</t>
  </si>
  <si>
    <t>2022 Actual</t>
  </si>
  <si>
    <t>Project Expenses 2022</t>
  </si>
  <si>
    <t>Balance Forward 2023</t>
  </si>
  <si>
    <t>Transactions 2022</t>
  </si>
  <si>
    <t>Budget 2023</t>
  </si>
  <si>
    <t>YTD 2023</t>
  </si>
  <si>
    <t>CV Edge 2022</t>
  </si>
  <si>
    <t>Training Modules 2022</t>
  </si>
  <si>
    <t>Webinars 2022</t>
  </si>
  <si>
    <t>Systematic Review 2022</t>
  </si>
  <si>
    <t>Spent in 2022</t>
  </si>
  <si>
    <t>4 Modules</t>
  </si>
  <si>
    <t>1 issue</t>
  </si>
  <si>
    <t>1 webinar</t>
  </si>
  <si>
    <t>Orford QC</t>
  </si>
  <si>
    <t>CACPR Spring Conference Budget 2023</t>
  </si>
  <si>
    <t>50 subscribers x $60 (to break even)</t>
  </si>
  <si>
    <t>50 subscribers x $6.83US ($10Cdn)/issue x 6 issues</t>
  </si>
  <si>
    <t xml:space="preserve">1 of 10 funded by Bayer </t>
  </si>
  <si>
    <t>partially funded by Bayer</t>
  </si>
  <si>
    <t>bal of Bayer Multi-project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</si>
</sst>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_(* #,##0_);_(* \(#,##0\);_(* &quot;-&quot;??_);_(@_)"/>
    <numFmt numFmtId="167" formatCode="#,##0.0000000000000"/>
    <numFmt numFmtId="168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2">
    <xf numFmtId="0" fontId="0" fillId="0" borderId="0" xfId="0"/>
    <xf numFmtId="166" fontId="0" fillId="0" borderId="0" xfId="1" applyNumberFormat="1" applyFont="1"/>
    <xf numFmtId="0" fontId="2" fillId="0" borderId="0" xfId="0" applyFont="1" applyAlignment="1">
      <alignment wrapText="1"/>
    </xf>
    <xf numFmtId="166" fontId="3" fillId="0" borderId="0" xfId="1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0" fillId="2" borderId="2" xfId="0" applyFill="1" applyBorder="1"/>
    <xf numFmtId="3" fontId="7" fillId="2" borderId="3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 wrapText="1"/>
    </xf>
    <xf numFmtId="166" fontId="4" fillId="2" borderId="4" xfId="1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166" fontId="7" fillId="2" borderId="2" xfId="1" applyNumberFormat="1" applyFont="1" applyFill="1" applyBorder="1" applyAlignment="1">
      <alignment horizontal="right" vertical="center"/>
    </xf>
    <xf numFmtId="166" fontId="8" fillId="0" borderId="0" xfId="1" applyNumberFormat="1" applyFont="1" applyBorder="1" applyAlignment="1">
      <alignment vertical="center" wrapText="1"/>
    </xf>
    <xf numFmtId="166" fontId="7" fillId="0" borderId="2" xfId="1" applyNumberFormat="1" applyFont="1" applyFill="1" applyBorder="1" applyAlignment="1">
      <alignment horizontal="right" vertical="center"/>
    </xf>
    <xf numFmtId="166" fontId="2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7" xfId="0" applyBorder="1"/>
    <xf numFmtId="166" fontId="8" fillId="0" borderId="0" xfId="1" applyNumberFormat="1" applyFont="1" applyFill="1" applyBorder="1" applyAlignment="1">
      <alignment vertical="center" wrapText="1"/>
    </xf>
    <xf numFmtId="0" fontId="10" fillId="0" borderId="0" xfId="0" applyFont="1"/>
    <xf numFmtId="0" fontId="2" fillId="0" borderId="0" xfId="0" applyFont="1"/>
    <xf numFmtId="0" fontId="6" fillId="0" borderId="6" xfId="0" applyFont="1" applyBorder="1" applyAlignment="1">
      <alignment horizontal="center" vertical="center"/>
    </xf>
    <xf numFmtId="0" fontId="0" fillId="0" borderId="2" xfId="0" applyBorder="1"/>
    <xf numFmtId="3" fontId="7" fillId="0" borderId="5" xfId="0" applyNumberFormat="1" applyFont="1" applyBorder="1" applyAlignment="1">
      <alignment horizontal="right" vertical="center"/>
    </xf>
    <xf numFmtId="166" fontId="4" fillId="0" borderId="4" xfId="1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67" fontId="0" fillId="0" borderId="0" xfId="0" applyNumberFormat="1"/>
    <xf numFmtId="0" fontId="9" fillId="0" borderId="0" xfId="0" applyFont="1"/>
    <xf numFmtId="166" fontId="10" fillId="0" borderId="0" xfId="1" applyNumberFormat="1" applyFont="1"/>
    <xf numFmtId="166" fontId="0" fillId="0" borderId="2" xfId="1" applyNumberFormat="1" applyFont="1" applyBorder="1"/>
    <xf numFmtId="166" fontId="0" fillId="0" borderId="3" xfId="1" applyNumberFormat="1" applyFont="1" applyBorder="1"/>
    <xf numFmtId="166" fontId="0" fillId="0" borderId="11" xfId="1" applyNumberFormat="1" applyFont="1" applyBorder="1"/>
    <xf numFmtId="166" fontId="0" fillId="0" borderId="10" xfId="1" applyNumberFormat="1" applyFont="1" applyBorder="1"/>
    <xf numFmtId="166" fontId="8" fillId="0" borderId="0" xfId="1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6" fontId="0" fillId="0" borderId="0" xfId="0" applyNumberFormat="1"/>
    <xf numFmtId="0" fontId="10" fillId="0" borderId="0" xfId="0" quotePrefix="1" applyFont="1"/>
    <xf numFmtId="166" fontId="2" fillId="0" borderId="0" xfId="0" applyNumberFormat="1" applyFont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8" xfId="1" applyNumberFormat="1" applyFont="1" applyBorder="1" applyAlignment="1">
      <alignment horizontal="center"/>
    </xf>
    <xf numFmtId="166" fontId="10" fillId="0" borderId="9" xfId="1" applyNumberFormat="1" applyFont="1" applyBorder="1" applyAlignment="1">
      <alignment horizontal="center"/>
    </xf>
    <xf numFmtId="166" fontId="10" fillId="3" borderId="12" xfId="1" applyNumberFormat="1" applyFont="1" applyFill="1" applyBorder="1" applyAlignment="1">
      <alignment horizontal="center" wrapText="1"/>
    </xf>
    <xf numFmtId="0" fontId="10" fillId="3" borderId="13" xfId="1" applyNumberFormat="1" applyFont="1" applyFill="1" applyBorder="1" applyAlignment="1">
      <alignment horizontal="center"/>
    </xf>
    <xf numFmtId="166" fontId="0" fillId="3" borderId="14" xfId="1" applyNumberFormat="1" applyFont="1" applyFill="1" applyBorder="1"/>
    <xf numFmtId="166" fontId="0" fillId="3" borderId="15" xfId="1" applyNumberFormat="1" applyFont="1" applyFill="1" applyBorder="1"/>
    <xf numFmtId="166" fontId="0" fillId="3" borderId="16" xfId="1" applyNumberFormat="1" applyFont="1" applyFill="1" applyBorder="1"/>
    <xf numFmtId="166" fontId="0" fillId="3" borderId="17" xfId="1" applyNumberFormat="1" applyFont="1" applyFill="1" applyBorder="1"/>
    <xf numFmtId="166" fontId="0" fillId="0" borderId="0" xfId="1" applyNumberFormat="1" applyFont="1" applyBorder="1"/>
    <xf numFmtId="0" fontId="12" fillId="0" borderId="18" xfId="0" applyFont="1" applyBorder="1"/>
    <xf numFmtId="0" fontId="0" fillId="0" borderId="21" xfId="0" applyBorder="1"/>
    <xf numFmtId="0" fontId="0" fillId="4" borderId="21" xfId="0" applyFill="1" applyBorder="1"/>
    <xf numFmtId="0" fontId="10" fillId="0" borderId="20" xfId="0" applyFont="1" applyBorder="1" applyAlignment="1">
      <alignment horizontal="center"/>
    </xf>
    <xf numFmtId="166" fontId="0" fillId="0" borderId="20" xfId="1" applyNumberFormat="1" applyFont="1" applyBorder="1"/>
    <xf numFmtId="166" fontId="0" fillId="0" borderId="23" xfId="1" applyNumberFormat="1" applyFont="1" applyBorder="1"/>
    <xf numFmtId="0" fontId="0" fillId="0" borderId="24" xfId="0" applyBorder="1"/>
    <xf numFmtId="166" fontId="0" fillId="0" borderId="25" xfId="1" applyNumberFormat="1" applyFont="1" applyBorder="1"/>
    <xf numFmtId="0" fontId="10" fillId="0" borderId="0" xfId="0" applyFont="1" applyAlignment="1">
      <alignment horizontal="center"/>
    </xf>
    <xf numFmtId="0" fontId="10" fillId="5" borderId="0" xfId="0" applyFont="1" applyFill="1"/>
    <xf numFmtId="166" fontId="0" fillId="5" borderId="0" xfId="1" applyNumberFormat="1" applyFont="1" applyFill="1"/>
    <xf numFmtId="166" fontId="0" fillId="5" borderId="22" xfId="1" applyNumberFormat="1" applyFont="1" applyFill="1" applyBorder="1"/>
    <xf numFmtId="166" fontId="10" fillId="5" borderId="0" xfId="1" applyNumberFormat="1" applyFont="1" applyFill="1"/>
    <xf numFmtId="0" fontId="10" fillId="0" borderId="21" xfId="0" applyFont="1" applyBorder="1"/>
    <xf numFmtId="166" fontId="0" fillId="0" borderId="19" xfId="1" applyNumberFormat="1" applyFont="1" applyBorder="1"/>
    <xf numFmtId="166" fontId="0" fillId="4" borderId="20" xfId="1" applyNumberFormat="1" applyFont="1" applyFill="1" applyBorder="1"/>
    <xf numFmtId="0" fontId="12" fillId="0" borderId="0" xfId="0" applyFont="1"/>
    <xf numFmtId="0" fontId="10" fillId="0" borderId="26" xfId="0" applyFont="1" applyBorder="1"/>
    <xf numFmtId="166" fontId="0" fillId="0" borderId="27" xfId="1" applyNumberFormat="1" applyFont="1" applyBorder="1"/>
    <xf numFmtId="0" fontId="0" fillId="4" borderId="28" xfId="0" applyFill="1" applyBorder="1"/>
    <xf numFmtId="166" fontId="0" fillId="4" borderId="29" xfId="1" applyNumberFormat="1" applyFont="1" applyFill="1" applyBorder="1"/>
    <xf numFmtId="0" fontId="0" fillId="0" borderId="28" xfId="0" applyBorder="1"/>
    <xf numFmtId="166" fontId="0" fillId="0" borderId="29" xfId="1" applyNumberFormat="1" applyFont="1" applyBorder="1"/>
    <xf numFmtId="166" fontId="0" fillId="0" borderId="29" xfId="1" applyNumberFormat="1" applyFont="1" applyFill="1" applyBorder="1"/>
    <xf numFmtId="0" fontId="0" fillId="4" borderId="30" xfId="0" applyFill="1" applyBorder="1"/>
    <xf numFmtId="166" fontId="0" fillId="4" borderId="31" xfId="1" applyNumberFormat="1" applyFont="1" applyFill="1" applyBorder="1"/>
    <xf numFmtId="0" fontId="13" fillId="0" borderId="0" xfId="0" applyFont="1" applyAlignment="1">
      <alignment horizontal="center" vertical="center" wrapText="1"/>
    </xf>
    <xf numFmtId="166" fontId="10" fillId="0" borderId="0" xfId="1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166" fontId="0" fillId="0" borderId="32" xfId="1" applyNumberFormat="1" applyFont="1" applyBorder="1"/>
    <xf numFmtId="164" fontId="14" fillId="0" borderId="32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15" fillId="0" borderId="32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6" fontId="0" fillId="0" borderId="22" xfId="1" applyNumberFormat="1" applyFont="1" applyBorder="1"/>
    <xf numFmtId="164" fontId="0" fillId="0" borderId="0" xfId="0" applyNumberFormat="1"/>
    <xf numFmtId="0" fontId="13" fillId="0" borderId="26" xfId="0" applyFont="1" applyBorder="1" applyAlignment="1">
      <alignment horizontal="center" vertical="center" wrapText="1"/>
    </xf>
    <xf numFmtId="0" fontId="10" fillId="0" borderId="33" xfId="0" applyFont="1" applyBorder="1"/>
    <xf numFmtId="0" fontId="10" fillId="0" borderId="27" xfId="0" applyFont="1" applyBorder="1"/>
    <xf numFmtId="0" fontId="14" fillId="0" borderId="28" xfId="0" applyFont="1" applyBorder="1" applyAlignment="1">
      <alignment vertical="center" wrapText="1"/>
    </xf>
    <xf numFmtId="166" fontId="0" fillId="0" borderId="29" xfId="0" applyNumberFormat="1" applyBorder="1"/>
    <xf numFmtId="0" fontId="15" fillId="0" borderId="28" xfId="0" applyFont="1" applyBorder="1" applyAlignment="1">
      <alignment vertical="center" wrapText="1"/>
    </xf>
    <xf numFmtId="164" fontId="0" fillId="0" borderId="22" xfId="0" applyNumberFormat="1" applyBorder="1"/>
    <xf numFmtId="166" fontId="0" fillId="0" borderId="31" xfId="0" applyNumberFormat="1" applyBorder="1"/>
    <xf numFmtId="0" fontId="13" fillId="0" borderId="30" xfId="0" applyFont="1" applyBorder="1" applyAlignment="1">
      <alignment horizontal="center" vertical="center" wrapText="1"/>
    </xf>
    <xf numFmtId="164" fontId="0" fillId="0" borderId="31" xfId="0" applyNumberFormat="1" applyBorder="1"/>
    <xf numFmtId="168" fontId="0" fillId="0" borderId="0" xfId="0" applyNumberFormat="1"/>
    <xf numFmtId="43" fontId="0" fillId="0" borderId="0" xfId="0" applyNumberFormat="1"/>
    <xf numFmtId="166" fontId="0" fillId="0" borderId="0" xfId="1" applyNumberFormat="1" applyFont="1" applyFill="1"/>
    <xf numFmtId="166" fontId="0" fillId="0" borderId="22" xfId="1" applyNumberFormat="1" applyFont="1" applyFill="1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28" xfId="0" applyFill="1" applyBorder="1"/>
    <xf numFmtId="166" fontId="1" fillId="3" borderId="1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P52"/>
  <sheetViews>
    <sheetView tabSelected="1" workbookViewId="0">
      <pane xSplit="1" ySplit="3" topLeftCell="B13" activePane="bottomRight" state="frozenSplit"/>
      <selection activeCell="D30" sqref="D30"/>
      <selection pane="topRight" activeCell="D30" sqref="D30"/>
      <selection pane="bottomLeft" activeCell="D30" sqref="D30"/>
      <selection pane="bottomRight" activeCell="L47" sqref="L47"/>
    </sheetView>
  </sheetViews>
  <sheetFormatPr defaultRowHeight="14.4" x14ac:dyDescent="0.3"/>
  <cols>
    <col min="1" max="4" width="2.6640625" customWidth="1"/>
    <col min="5" max="5" width="28.44140625" customWidth="1"/>
    <col min="6" max="8" width="13.6640625" style="1" customWidth="1"/>
    <col min="9" max="9" width="13.5546875" customWidth="1"/>
    <col min="10" max="10" width="13.6640625" style="1" customWidth="1"/>
    <col min="11" max="11" width="1.5546875" style="2" customWidth="1"/>
    <col min="12" max="12" width="13.6640625" style="1" customWidth="1"/>
    <col min="13" max="13" width="37.21875" style="24" customWidth="1"/>
    <col min="15" max="15" width="17.5546875" bestFit="1" customWidth="1"/>
  </cols>
  <sheetData>
    <row r="1" spans="1:14" ht="18" x14ac:dyDescent="0.35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8.600000000000001" thickBot="1" x14ac:dyDescent="0.4">
      <c r="A2" s="109" t="s">
        <v>147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s="16" customFormat="1" ht="15.6" thickTop="1" thickBot="1" x14ac:dyDescent="0.35">
      <c r="A3" s="19"/>
      <c r="B3"/>
      <c r="C3"/>
      <c r="D3"/>
      <c r="E3"/>
      <c r="F3" s="25" t="s">
        <v>96</v>
      </c>
      <c r="G3" s="25" t="s">
        <v>65</v>
      </c>
      <c r="H3" s="25" t="s">
        <v>145</v>
      </c>
      <c r="I3" s="17" t="s">
        <v>98</v>
      </c>
      <c r="J3" s="25" t="s">
        <v>148</v>
      </c>
      <c r="K3" s="18"/>
      <c r="L3" s="17" t="s">
        <v>146</v>
      </c>
      <c r="M3" s="30"/>
    </row>
    <row r="4" spans="1:14" ht="15" thickTop="1" x14ac:dyDescent="0.3">
      <c r="B4" s="108" t="s">
        <v>22</v>
      </c>
      <c r="C4" s="108"/>
      <c r="D4" s="108"/>
      <c r="F4" s="26"/>
      <c r="G4" s="26"/>
      <c r="H4" s="26"/>
      <c r="I4" s="7"/>
      <c r="J4" s="26"/>
      <c r="L4" s="7"/>
    </row>
    <row r="5" spans="1:14" x14ac:dyDescent="0.3">
      <c r="D5" s="107" t="s">
        <v>14</v>
      </c>
      <c r="E5" s="107"/>
      <c r="F5" s="14">
        <v>600</v>
      </c>
      <c r="G5" s="14">
        <v>1400</v>
      </c>
      <c r="H5" s="14"/>
      <c r="I5" s="12">
        <v>0</v>
      </c>
      <c r="J5" s="14"/>
      <c r="K5" s="13"/>
      <c r="L5" s="12">
        <v>0</v>
      </c>
    </row>
    <row r="6" spans="1:14" x14ac:dyDescent="0.3">
      <c r="D6" s="20" t="s">
        <v>97</v>
      </c>
      <c r="E6" s="20"/>
      <c r="F6" s="14">
        <v>13045</v>
      </c>
      <c r="G6" s="14"/>
      <c r="H6" s="14"/>
      <c r="I6" s="12">
        <v>0</v>
      </c>
      <c r="J6" s="14">
        <v>2783.62</v>
      </c>
      <c r="K6" s="13"/>
      <c r="L6" s="12">
        <v>0</v>
      </c>
    </row>
    <row r="7" spans="1:14" ht="14.4" customHeight="1" x14ac:dyDescent="0.3">
      <c r="D7" s="107" t="s">
        <v>11</v>
      </c>
      <c r="E7" s="107"/>
      <c r="F7" s="14">
        <v>4225</v>
      </c>
      <c r="G7" s="14">
        <f>3250+325+325</f>
        <v>3900</v>
      </c>
      <c r="H7" s="14">
        <v>3900</v>
      </c>
      <c r="I7" s="12">
        <v>1916.75</v>
      </c>
      <c r="J7" s="14">
        <v>1916.75</v>
      </c>
      <c r="K7" s="13"/>
      <c r="L7" s="12">
        <v>0</v>
      </c>
      <c r="M7" s="38"/>
    </row>
    <row r="8" spans="1:14" x14ac:dyDescent="0.3">
      <c r="D8" s="20" t="s">
        <v>44</v>
      </c>
      <c r="E8" s="20"/>
      <c r="F8" s="14">
        <v>12645</v>
      </c>
      <c r="G8" s="14">
        <v>43619.5</v>
      </c>
      <c r="H8" s="14">
        <v>4495.57</v>
      </c>
      <c r="I8" s="12">
        <v>51919.929999999993</v>
      </c>
      <c r="J8" s="14">
        <v>297.5</v>
      </c>
      <c r="K8" s="13"/>
      <c r="L8" s="12">
        <f>112680-J8-G8-F8</f>
        <v>56118</v>
      </c>
      <c r="M8" s="13"/>
    </row>
    <row r="9" spans="1:14" x14ac:dyDescent="0.3">
      <c r="D9" s="20" t="s">
        <v>45</v>
      </c>
      <c r="E9" s="20"/>
      <c r="F9" s="14">
        <v>3357.5</v>
      </c>
      <c r="G9" s="14">
        <v>25497.06</v>
      </c>
      <c r="H9" s="14">
        <v>15502.9</v>
      </c>
      <c r="I9" s="12">
        <v>35642.539999999994</v>
      </c>
      <c r="J9" s="14">
        <f>BayerMulti!B24</f>
        <v>10185.32</v>
      </c>
      <c r="K9" s="13"/>
      <c r="L9" s="12">
        <f>BayerMulti!B33</f>
        <v>25457</v>
      </c>
      <c r="M9" s="13" t="s">
        <v>168</v>
      </c>
      <c r="N9" s="40"/>
    </row>
    <row r="10" spans="1:14" x14ac:dyDescent="0.3">
      <c r="D10" s="20" t="s">
        <v>93</v>
      </c>
      <c r="E10" s="20"/>
      <c r="F10" s="14"/>
      <c r="G10" s="14">
        <v>130</v>
      </c>
      <c r="H10" s="14">
        <v>20632.009999999998</v>
      </c>
      <c r="I10" s="12">
        <v>0</v>
      </c>
      <c r="J10" s="14"/>
      <c r="K10" s="13"/>
      <c r="L10" s="12">
        <v>0</v>
      </c>
    </row>
    <row r="11" spans="1:14" x14ac:dyDescent="0.3">
      <c r="D11" s="107" t="s">
        <v>21</v>
      </c>
      <c r="E11" s="107"/>
      <c r="F11" s="14"/>
      <c r="G11" s="14">
        <v>568.38</v>
      </c>
      <c r="H11" s="14"/>
      <c r="I11" s="12">
        <v>0</v>
      </c>
      <c r="J11" s="14"/>
      <c r="K11" s="13"/>
      <c r="L11" s="12">
        <v>0</v>
      </c>
    </row>
    <row r="12" spans="1:14" hidden="1" x14ac:dyDescent="0.3">
      <c r="D12" s="20" t="s">
        <v>20</v>
      </c>
      <c r="E12" s="20"/>
      <c r="F12" s="14"/>
      <c r="G12" s="14"/>
      <c r="H12" s="14"/>
      <c r="I12" s="12"/>
      <c r="J12" s="14"/>
      <c r="K12" s="13"/>
      <c r="L12" s="12"/>
    </row>
    <row r="13" spans="1:14" x14ac:dyDescent="0.3">
      <c r="D13" s="20" t="s">
        <v>36</v>
      </c>
      <c r="E13" s="20"/>
      <c r="F13" s="14">
        <v>2390</v>
      </c>
      <c r="G13" s="14">
        <v>3180</v>
      </c>
      <c r="H13" s="14">
        <v>2520</v>
      </c>
      <c r="I13" s="12">
        <v>2520</v>
      </c>
      <c r="J13" s="14">
        <v>3090</v>
      </c>
      <c r="K13" s="13"/>
      <c r="L13" s="12">
        <f>50*60</f>
        <v>3000</v>
      </c>
      <c r="M13" s="24" t="s">
        <v>164</v>
      </c>
    </row>
    <row r="14" spans="1:14" x14ac:dyDescent="0.3">
      <c r="D14" s="107" t="s">
        <v>19</v>
      </c>
      <c r="E14" s="107"/>
      <c r="F14" s="14">
        <v>22177.5</v>
      </c>
      <c r="G14" s="14">
        <v>22370</v>
      </c>
      <c r="H14" s="14">
        <v>19605</v>
      </c>
      <c r="I14" s="12">
        <v>20000</v>
      </c>
      <c r="J14" s="14">
        <v>16625</v>
      </c>
      <c r="K14" s="13"/>
      <c r="L14" s="12">
        <v>18000</v>
      </c>
      <c r="M14" s="13"/>
    </row>
    <row r="15" spans="1:14" hidden="1" x14ac:dyDescent="0.3">
      <c r="D15" s="20" t="s">
        <v>18</v>
      </c>
      <c r="E15" s="20"/>
      <c r="F15" s="14"/>
      <c r="G15" s="14"/>
      <c r="H15" s="14"/>
      <c r="I15" s="12"/>
      <c r="J15" s="14"/>
      <c r="K15" s="13"/>
      <c r="L15" s="12"/>
    </row>
    <row r="16" spans="1:14" x14ac:dyDescent="0.3">
      <c r="D16" s="20" t="s">
        <v>6</v>
      </c>
      <c r="E16" s="20"/>
      <c r="F16" s="14">
        <v>1921</v>
      </c>
      <c r="G16" s="14">
        <v>3391.58</v>
      </c>
      <c r="H16" s="14">
        <v>1547.66</v>
      </c>
      <c r="I16" s="12">
        <v>1000</v>
      </c>
      <c r="J16" s="14">
        <v>833.4</v>
      </c>
      <c r="K16" s="13"/>
      <c r="L16" s="12">
        <v>800</v>
      </c>
    </row>
    <row r="17" spans="2:15" x14ac:dyDescent="0.3">
      <c r="D17" s="20" t="s">
        <v>17</v>
      </c>
      <c r="E17" s="20"/>
      <c r="F17" s="14">
        <v>52988.6</v>
      </c>
      <c r="G17" s="14">
        <v>20620</v>
      </c>
      <c r="H17" s="14">
        <v>39500</v>
      </c>
      <c r="I17" s="12">
        <v>23500</v>
      </c>
      <c r="J17" s="14">
        <v>33550</v>
      </c>
      <c r="K17" s="13"/>
      <c r="L17" s="12">
        <f>Conf23!K9</f>
        <v>43000</v>
      </c>
      <c r="M17" s="13" t="s">
        <v>38</v>
      </c>
    </row>
    <row r="18" spans="2:15" x14ac:dyDescent="0.3">
      <c r="D18" s="20" t="s">
        <v>61</v>
      </c>
      <c r="E18" s="20"/>
      <c r="F18" s="14"/>
      <c r="G18" s="14">
        <v>650</v>
      </c>
      <c r="H18" s="14">
        <v>100</v>
      </c>
      <c r="I18" s="12">
        <v>2000</v>
      </c>
      <c r="J18" s="14"/>
      <c r="K18" s="13"/>
      <c r="L18" s="12">
        <v>0</v>
      </c>
      <c r="M18" s="13"/>
    </row>
    <row r="19" spans="2:15" ht="15" thickBot="1" x14ac:dyDescent="0.35">
      <c r="D19" s="20" t="s">
        <v>62</v>
      </c>
      <c r="E19" s="20"/>
      <c r="F19" s="14"/>
      <c r="G19" s="14">
        <v>12229.74</v>
      </c>
      <c r="H19" s="14">
        <v>13574.85</v>
      </c>
      <c r="I19" s="12">
        <v>12000</v>
      </c>
      <c r="J19" s="14">
        <v>11686.25</v>
      </c>
      <c r="K19" s="13"/>
      <c r="L19" s="12">
        <v>12000</v>
      </c>
      <c r="M19" s="13"/>
    </row>
    <row r="20" spans="2:15" ht="15" thickBot="1" x14ac:dyDescent="0.35">
      <c r="F20" s="27">
        <f>SUM(F5:F19)</f>
        <v>113349.6</v>
      </c>
      <c r="G20" s="27">
        <f>SUM(G5:G19)</f>
        <v>137556.26</v>
      </c>
      <c r="H20" s="27">
        <f>SUM(H5:H19)</f>
        <v>121377.99</v>
      </c>
      <c r="I20" s="11">
        <f>SUM(I5:I19)</f>
        <v>150499.21999999997</v>
      </c>
      <c r="J20" s="27">
        <f>SUM(J5:J19)</f>
        <v>80967.839999999997</v>
      </c>
      <c r="K20" s="9"/>
      <c r="L20" s="11">
        <f>SUM(L5:L19)</f>
        <v>158375</v>
      </c>
    </row>
    <row r="21" spans="2:15" x14ac:dyDescent="0.3">
      <c r="B21" s="108" t="s">
        <v>16</v>
      </c>
      <c r="C21" s="108"/>
      <c r="D21" s="108"/>
      <c r="F21" s="26"/>
      <c r="G21" s="26"/>
      <c r="H21" s="26"/>
      <c r="I21" s="7"/>
      <c r="J21" s="26"/>
      <c r="L21" s="7"/>
    </row>
    <row r="22" spans="2:15" x14ac:dyDescent="0.3">
      <c r="D22" s="107" t="s">
        <v>15</v>
      </c>
      <c r="E22" s="107"/>
      <c r="F22" s="14">
        <v>13045</v>
      </c>
      <c r="G22" s="14">
        <v>568.38</v>
      </c>
      <c r="H22" s="14"/>
      <c r="I22" s="12"/>
      <c r="J22" s="14"/>
      <c r="K22" s="13"/>
      <c r="L22" s="12">
        <v>0</v>
      </c>
    </row>
    <row r="23" spans="2:15" x14ac:dyDescent="0.3">
      <c r="D23" s="107" t="s">
        <v>14</v>
      </c>
      <c r="E23" s="107"/>
      <c r="F23" s="14">
        <v>4260.5</v>
      </c>
      <c r="G23" s="14">
        <v>871.25</v>
      </c>
      <c r="H23" s="14">
        <v>21.25</v>
      </c>
      <c r="I23" s="12"/>
      <c r="J23" s="14">
        <v>21.25</v>
      </c>
      <c r="K23" s="13"/>
      <c r="L23" s="12">
        <v>0</v>
      </c>
      <c r="M23" s="22"/>
    </row>
    <row r="24" spans="2:15" x14ac:dyDescent="0.3">
      <c r="D24" s="107" t="s">
        <v>13</v>
      </c>
      <c r="E24" s="107"/>
      <c r="F24" s="14">
        <v>1000</v>
      </c>
      <c r="G24" s="14">
        <v>1000</v>
      </c>
      <c r="H24" s="14">
        <v>1000</v>
      </c>
      <c r="I24" s="12">
        <v>1000</v>
      </c>
      <c r="J24" s="14">
        <v>1000</v>
      </c>
      <c r="K24" s="15"/>
      <c r="L24" s="12">
        <v>1000</v>
      </c>
      <c r="M24" s="2" t="s">
        <v>55</v>
      </c>
    </row>
    <row r="25" spans="2:15" x14ac:dyDescent="0.3">
      <c r="D25" s="20" t="s">
        <v>40</v>
      </c>
      <c r="E25" s="20"/>
      <c r="F25" s="14">
        <v>400</v>
      </c>
      <c r="G25" s="14">
        <v>400</v>
      </c>
      <c r="H25" s="14"/>
      <c r="I25" s="12"/>
      <c r="J25" s="14"/>
      <c r="K25" s="15"/>
      <c r="L25" s="12">
        <v>0</v>
      </c>
      <c r="M25" s="2"/>
    </row>
    <row r="26" spans="2:15" x14ac:dyDescent="0.3">
      <c r="D26" s="107" t="s">
        <v>12</v>
      </c>
      <c r="E26" s="107"/>
      <c r="F26" s="14">
        <v>941.92</v>
      </c>
      <c r="G26" s="14">
        <v>887.36</v>
      </c>
      <c r="H26" s="14">
        <v>1776.13</v>
      </c>
      <c r="I26" s="12">
        <v>1800</v>
      </c>
      <c r="J26" s="14">
        <v>1228.3800000000001</v>
      </c>
      <c r="K26" s="13"/>
      <c r="L26" s="12">
        <v>1500</v>
      </c>
      <c r="O26" s="31"/>
    </row>
    <row r="27" spans="2:15" x14ac:dyDescent="0.3">
      <c r="D27" s="20" t="s">
        <v>92</v>
      </c>
      <c r="E27" s="20"/>
      <c r="F27" s="14"/>
      <c r="G27" s="14">
        <v>1810</v>
      </c>
      <c r="H27" s="14">
        <v>0</v>
      </c>
      <c r="I27" s="12">
        <v>11140</v>
      </c>
      <c r="J27" s="14">
        <f>BayerMulti!B17</f>
        <v>0</v>
      </c>
      <c r="K27" s="13"/>
      <c r="L27" s="12">
        <f>BayerMulti!B32</f>
        <v>11140</v>
      </c>
      <c r="M27" s="24" t="s">
        <v>47</v>
      </c>
    </row>
    <row r="28" spans="2:15" ht="13.95" customHeight="1" x14ac:dyDescent="0.3">
      <c r="D28" s="107" t="s">
        <v>11</v>
      </c>
      <c r="E28" s="107"/>
      <c r="F28" s="14">
        <v>4225</v>
      </c>
      <c r="G28" s="14">
        <v>3900</v>
      </c>
      <c r="H28" s="14">
        <v>3900</v>
      </c>
      <c r="I28" s="12">
        <v>3900</v>
      </c>
      <c r="J28" s="14">
        <v>650</v>
      </c>
      <c r="K28" s="13"/>
      <c r="L28" s="12">
        <v>0</v>
      </c>
      <c r="M28" s="13"/>
    </row>
    <row r="29" spans="2:15" ht="13.95" customHeight="1" x14ac:dyDescent="0.3">
      <c r="D29" s="20" t="s">
        <v>46</v>
      </c>
      <c r="E29" s="20"/>
      <c r="F29" s="14">
        <v>12645</v>
      </c>
      <c r="G29" s="14">
        <v>43619.5</v>
      </c>
      <c r="H29" s="14">
        <v>4495.57</v>
      </c>
      <c r="I29" s="12">
        <v>51919.929999999993</v>
      </c>
      <c r="J29" s="14">
        <v>297.5</v>
      </c>
      <c r="K29" s="13"/>
      <c r="L29" s="12">
        <f>L8</f>
        <v>56118</v>
      </c>
      <c r="M29" s="13" t="s">
        <v>135</v>
      </c>
    </row>
    <row r="30" spans="2:15" ht="13.95" customHeight="1" x14ac:dyDescent="0.3">
      <c r="D30" s="20" t="s">
        <v>41</v>
      </c>
      <c r="E30" s="20"/>
      <c r="F30" s="14">
        <v>2805</v>
      </c>
      <c r="G30" s="14">
        <v>1700</v>
      </c>
      <c r="H30" s="14">
        <v>956.25</v>
      </c>
      <c r="I30" s="12">
        <v>1000</v>
      </c>
      <c r="J30" s="14">
        <f>BayerMulti!B20</f>
        <v>1105</v>
      </c>
      <c r="K30" s="13"/>
      <c r="L30" s="12">
        <f>BayerMulti!B29+500</f>
        <v>1000</v>
      </c>
      <c r="M30" s="13" t="s">
        <v>167</v>
      </c>
    </row>
    <row r="31" spans="2:15" ht="13.95" customHeight="1" x14ac:dyDescent="0.3">
      <c r="D31" s="20" t="s">
        <v>42</v>
      </c>
      <c r="E31" s="20"/>
      <c r="F31" s="14">
        <v>2632.9</v>
      </c>
      <c r="G31" s="14">
        <v>2801.19</v>
      </c>
      <c r="H31" s="14">
        <v>2354.98</v>
      </c>
      <c r="I31" s="12">
        <v>2520</v>
      </c>
      <c r="J31" s="14">
        <v>2549.75</v>
      </c>
      <c r="K31" s="13"/>
      <c r="L31" s="12">
        <v>3000</v>
      </c>
      <c r="M31" s="13" t="s">
        <v>165</v>
      </c>
    </row>
    <row r="32" spans="2:15" x14ac:dyDescent="0.3">
      <c r="D32" s="107" t="s">
        <v>9</v>
      </c>
      <c r="E32" s="107"/>
      <c r="F32" s="14">
        <v>1999.75</v>
      </c>
      <c r="G32" s="14">
        <v>2029.98</v>
      </c>
      <c r="H32" s="14">
        <v>2213.12</v>
      </c>
      <c r="I32" s="12">
        <v>2300</v>
      </c>
      <c r="J32" s="14">
        <v>2314</v>
      </c>
      <c r="K32" s="13"/>
      <c r="L32" s="12">
        <v>2400</v>
      </c>
      <c r="M32" s="24" t="s">
        <v>57</v>
      </c>
    </row>
    <row r="33" spans="1:16" x14ac:dyDescent="0.3">
      <c r="D33" s="107" t="s">
        <v>26</v>
      </c>
      <c r="E33" s="107"/>
      <c r="F33" s="14">
        <v>30941.25</v>
      </c>
      <c r="G33" s="14">
        <f>31635+3000</f>
        <v>34635</v>
      </c>
      <c r="H33" s="14">
        <v>37202.5</v>
      </c>
      <c r="I33" s="12">
        <v>37515</v>
      </c>
      <c r="J33" s="14">
        <v>37501.879999999997</v>
      </c>
      <c r="K33" s="13"/>
      <c r="L33" s="12">
        <f>3150*4+3150*1.025*8</f>
        <v>38430</v>
      </c>
      <c r="M33" s="13" t="s">
        <v>10</v>
      </c>
    </row>
    <row r="34" spans="1:16" x14ac:dyDescent="0.3">
      <c r="D34" s="20" t="s">
        <v>8</v>
      </c>
      <c r="E34" s="20"/>
      <c r="F34" s="14">
        <v>2401.08</v>
      </c>
      <c r="G34" s="14">
        <v>2856.04</v>
      </c>
      <c r="H34" s="14">
        <v>2698</v>
      </c>
      <c r="I34" s="12">
        <v>2700</v>
      </c>
      <c r="J34" s="14">
        <v>3085</v>
      </c>
      <c r="K34" s="13"/>
      <c r="L34" s="12">
        <v>3100</v>
      </c>
      <c r="M34" s="13" t="s">
        <v>24</v>
      </c>
    </row>
    <row r="35" spans="1:16" ht="15" customHeight="1" x14ac:dyDescent="0.3">
      <c r="D35" s="107" t="s">
        <v>7</v>
      </c>
      <c r="E35" s="107"/>
      <c r="F35" s="14">
        <v>1012.51</v>
      </c>
      <c r="G35" s="14">
        <v>192.31</v>
      </c>
      <c r="H35" s="14"/>
      <c r="I35" s="12">
        <v>200</v>
      </c>
      <c r="J35" s="14"/>
      <c r="K35" s="13"/>
      <c r="L35" s="12">
        <v>200</v>
      </c>
      <c r="M35" s="13"/>
    </row>
    <row r="36" spans="1:16" x14ac:dyDescent="0.3">
      <c r="D36" s="20" t="s">
        <v>6</v>
      </c>
      <c r="E36" s="20"/>
      <c r="F36" s="14">
        <v>166.55</v>
      </c>
      <c r="G36" s="14">
        <v>218.72</v>
      </c>
      <c r="H36" s="14">
        <v>20.91</v>
      </c>
      <c r="I36" s="12">
        <v>25</v>
      </c>
      <c r="J36" s="14"/>
      <c r="K36" s="13"/>
      <c r="L36" s="12">
        <v>0</v>
      </c>
      <c r="M36" s="24" t="s">
        <v>39</v>
      </c>
    </row>
    <row r="37" spans="1:16" x14ac:dyDescent="0.3">
      <c r="D37" s="20" t="s">
        <v>5</v>
      </c>
      <c r="E37" s="20"/>
      <c r="F37" s="14">
        <v>37699.089999999997</v>
      </c>
      <c r="G37" s="14">
        <v>18311.64</v>
      </c>
      <c r="H37" s="14">
        <v>22248.400000000001</v>
      </c>
      <c r="I37" s="12">
        <v>22450</v>
      </c>
      <c r="J37" s="14">
        <v>22493.119999999999</v>
      </c>
      <c r="K37" s="13"/>
      <c r="L37" s="12">
        <f>Conf23!K22</f>
        <v>38850</v>
      </c>
      <c r="M37" s="13" t="s">
        <v>38</v>
      </c>
      <c r="N37" s="40"/>
      <c r="O37" s="40"/>
    </row>
    <row r="38" spans="1:16" x14ac:dyDescent="0.3">
      <c r="D38" s="20" t="s">
        <v>4</v>
      </c>
      <c r="E38" s="20"/>
      <c r="F38" s="14"/>
      <c r="G38" s="14">
        <f>782.5+50</f>
        <v>832.5</v>
      </c>
      <c r="H38" s="14">
        <v>793.27</v>
      </c>
      <c r="I38" s="12">
        <v>800</v>
      </c>
      <c r="J38" s="14">
        <v>600</v>
      </c>
      <c r="K38" s="13"/>
      <c r="L38" s="12">
        <v>800</v>
      </c>
    </row>
    <row r="39" spans="1:16" ht="20.399999999999999" hidden="1" x14ac:dyDescent="0.3">
      <c r="D39" s="107" t="s">
        <v>3</v>
      </c>
      <c r="E39" s="107"/>
      <c r="F39" s="14"/>
      <c r="G39" s="14"/>
      <c r="H39" s="14"/>
      <c r="I39" s="12"/>
      <c r="J39" s="14"/>
      <c r="K39" s="13"/>
      <c r="L39" s="12"/>
      <c r="M39" s="13" t="s">
        <v>2</v>
      </c>
    </row>
    <row r="40" spans="1:16" x14ac:dyDescent="0.3">
      <c r="D40" s="20" t="s">
        <v>61</v>
      </c>
      <c r="E40" s="20"/>
      <c r="F40" s="14"/>
      <c r="G40" s="14">
        <v>4174.95</v>
      </c>
      <c r="H40" s="14">
        <v>191.25</v>
      </c>
      <c r="I40" s="12">
        <v>16000</v>
      </c>
      <c r="J40" s="14">
        <f>BayerMulti!B21</f>
        <v>42.5</v>
      </c>
      <c r="K40" s="13"/>
      <c r="L40" s="12">
        <f>BayerMulti!B30</f>
        <v>12800</v>
      </c>
      <c r="M40" s="13" t="s">
        <v>94</v>
      </c>
    </row>
    <row r="41" spans="1:16" x14ac:dyDescent="0.3">
      <c r="D41" s="20" t="s">
        <v>43</v>
      </c>
      <c r="E41" s="20"/>
      <c r="F41" s="14">
        <v>50</v>
      </c>
      <c r="G41" s="14">
        <v>182.5</v>
      </c>
      <c r="H41" s="14">
        <v>150</v>
      </c>
      <c r="I41" s="12">
        <v>200</v>
      </c>
      <c r="J41" s="14">
        <v>103</v>
      </c>
      <c r="K41" s="13"/>
      <c r="L41" s="12">
        <v>200</v>
      </c>
      <c r="M41" s="13"/>
      <c r="N41" s="40"/>
      <c r="O41" s="40"/>
      <c r="P41" s="40"/>
    </row>
    <row r="42" spans="1:16" ht="15" thickBot="1" x14ac:dyDescent="0.35">
      <c r="D42" s="20" t="s">
        <v>62</v>
      </c>
      <c r="E42" s="20"/>
      <c r="F42" s="14">
        <v>552.5</v>
      </c>
      <c r="G42" s="14">
        <v>17812</v>
      </c>
      <c r="H42" s="14">
        <v>14355.4</v>
      </c>
      <c r="I42" s="12">
        <v>7502</v>
      </c>
      <c r="J42" s="14">
        <f>BayerMulti!B22</f>
        <v>9037.82</v>
      </c>
      <c r="K42" s="13"/>
      <c r="L42" s="12">
        <f>BayerMulti!B31+9000</f>
        <v>10017</v>
      </c>
      <c r="M42" s="13" t="s">
        <v>166</v>
      </c>
    </row>
    <row r="43" spans="1:16" ht="15" hidden="1" thickBot="1" x14ac:dyDescent="0.35">
      <c r="D43" s="20" t="s">
        <v>25</v>
      </c>
      <c r="E43" s="20"/>
      <c r="F43" s="14"/>
      <c r="G43" s="14"/>
      <c r="H43" s="14"/>
      <c r="I43" s="12"/>
      <c r="J43" s="14"/>
      <c r="K43" s="13"/>
      <c r="L43" s="12"/>
    </row>
    <row r="44" spans="1:16" ht="15" thickBot="1" x14ac:dyDescent="0.35">
      <c r="F44" s="27">
        <f>SUM(F22:F43)</f>
        <v>116778.05</v>
      </c>
      <c r="G44" s="27">
        <f>SUM(G22:G43)</f>
        <v>138803.32</v>
      </c>
      <c r="H44" s="27">
        <f>SUM(H22:H43)</f>
        <v>94377.030000000013</v>
      </c>
      <c r="I44" s="11">
        <f>SUM(I22:I43)</f>
        <v>162971.93</v>
      </c>
      <c r="J44" s="27">
        <f>SUM(J22:J43)</f>
        <v>82029.199999999983</v>
      </c>
      <c r="K44" s="9"/>
      <c r="L44" s="11">
        <f>SUM(L22:L43)</f>
        <v>180555</v>
      </c>
      <c r="M44" s="42"/>
    </row>
    <row r="45" spans="1:16" ht="15" thickBot="1" x14ac:dyDescent="0.35">
      <c r="A45" s="108" t="s">
        <v>56</v>
      </c>
      <c r="B45" s="108"/>
      <c r="C45" s="108"/>
      <c r="D45" s="108"/>
      <c r="E45" s="108"/>
      <c r="F45" s="28">
        <f>F20-F44</f>
        <v>-3428.4499999999971</v>
      </c>
      <c r="G45" s="28">
        <f>G20-G44</f>
        <v>-1247.0599999999977</v>
      </c>
      <c r="H45" s="28">
        <f>H20-H44</f>
        <v>27000.959999999992</v>
      </c>
      <c r="I45" s="10">
        <f>I20-I44</f>
        <v>-12472.710000000021</v>
      </c>
      <c r="J45" s="28">
        <f>J20-J44</f>
        <v>-1061.359999999986</v>
      </c>
      <c r="K45" s="5"/>
      <c r="L45" s="10">
        <f>L20-L44</f>
        <v>-22180</v>
      </c>
      <c r="M45" s="42"/>
    </row>
    <row r="46" spans="1:16" ht="12" customHeight="1" thickTop="1" x14ac:dyDescent="0.3">
      <c r="F46" s="21"/>
      <c r="G46" s="21"/>
      <c r="H46" s="21"/>
      <c r="I46" s="21"/>
      <c r="J46" s="21"/>
      <c r="L46" s="21"/>
    </row>
    <row r="47" spans="1:16" ht="15" thickBot="1" x14ac:dyDescent="0.35">
      <c r="A47" s="108" t="s">
        <v>1</v>
      </c>
      <c r="B47" s="108"/>
      <c r="C47" s="108"/>
      <c r="D47" s="108"/>
      <c r="E47" s="108"/>
      <c r="F47" s="29">
        <v>39593.160000000003</v>
      </c>
      <c r="G47" s="29">
        <f>F49</f>
        <v>36164.710000000006</v>
      </c>
      <c r="H47" s="29">
        <f>G49</f>
        <v>34917.650000000009</v>
      </c>
      <c r="I47" s="8">
        <f>H49</f>
        <v>61918.61</v>
      </c>
      <c r="J47" s="29">
        <f>H49</f>
        <v>61918.61</v>
      </c>
      <c r="K47" s="9"/>
      <c r="L47" s="8">
        <f>J49</f>
        <v>60857.250000000015</v>
      </c>
    </row>
    <row r="48" spans="1:16" ht="9" customHeight="1" x14ac:dyDescent="0.3">
      <c r="F48" s="26"/>
      <c r="G48" s="26"/>
      <c r="H48" s="26"/>
      <c r="I48" s="7"/>
      <c r="J48" s="26"/>
      <c r="L48" s="7"/>
    </row>
    <row r="49" spans="1:12" ht="15" thickBot="1" x14ac:dyDescent="0.35">
      <c r="A49" s="108" t="s">
        <v>0</v>
      </c>
      <c r="B49" s="108"/>
      <c r="C49" s="108"/>
      <c r="D49" s="108"/>
      <c r="E49" s="108"/>
      <c r="F49" s="6">
        <f>F45+F47</f>
        <v>36164.710000000006</v>
      </c>
      <c r="G49" s="6">
        <f>G45+G47</f>
        <v>34917.650000000009</v>
      </c>
      <c r="H49" s="6">
        <f>H45+H47</f>
        <v>61918.61</v>
      </c>
      <c r="I49" s="4">
        <f>I47+I45</f>
        <v>49445.89999999998</v>
      </c>
      <c r="J49" s="6">
        <f>J45+J47</f>
        <v>60857.250000000015</v>
      </c>
      <c r="K49" s="5"/>
      <c r="L49" s="4">
        <f>L47+L45</f>
        <v>38677.250000000015</v>
      </c>
    </row>
    <row r="50" spans="1:12" ht="6" customHeight="1" thickTop="1" x14ac:dyDescent="0.3">
      <c r="A50" s="3"/>
    </row>
    <row r="51" spans="1:12" x14ac:dyDescent="0.3">
      <c r="A51" s="23"/>
    </row>
    <row r="52" spans="1:12" x14ac:dyDescent="0.3">
      <c r="A52" s="41"/>
    </row>
  </sheetData>
  <mergeCells count="20">
    <mergeCell ref="D11:E11"/>
    <mergeCell ref="A1:M1"/>
    <mergeCell ref="A2:M2"/>
    <mergeCell ref="B4:D4"/>
    <mergeCell ref="D5:E5"/>
    <mergeCell ref="D7:E7"/>
    <mergeCell ref="D26:E26"/>
    <mergeCell ref="D28:E28"/>
    <mergeCell ref="D33:E33"/>
    <mergeCell ref="D32:E32"/>
    <mergeCell ref="D14:E14"/>
    <mergeCell ref="B21:D21"/>
    <mergeCell ref="D22:E22"/>
    <mergeCell ref="D23:E23"/>
    <mergeCell ref="D24:E24"/>
    <mergeCell ref="D35:E35"/>
    <mergeCell ref="D39:E39"/>
    <mergeCell ref="A45:E45"/>
    <mergeCell ref="A47:E47"/>
    <mergeCell ref="A49:E49"/>
  </mergeCells>
  <pageMargins left="0.23622047244094491" right="3.937007874015748E-2" top="0" bottom="0" header="0.11811023622047245" footer="3.937007874015748E-2"/>
  <pageSetup scale="85"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190500</xdr:colOff>
                <xdr:row>1</xdr:row>
                <xdr:rowOff>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190500</xdr:colOff>
                <xdr:row>1</xdr:row>
                <xdr:rowOff>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L18" sqref="L18"/>
    </sheetView>
  </sheetViews>
  <sheetFormatPr defaultRowHeight="14.4" x14ac:dyDescent="0.3"/>
  <cols>
    <col min="1" max="1" width="2.6640625" customWidth="1"/>
    <col min="2" max="2" width="16.109375" customWidth="1"/>
    <col min="3" max="9" width="10.33203125" style="1" customWidth="1"/>
    <col min="10" max="10" width="3.44140625" customWidth="1"/>
    <col min="11" max="11" width="9.5546875" style="1" bestFit="1" customWidth="1"/>
    <col min="12" max="12" width="21.6640625" style="39" customWidth="1"/>
  </cols>
  <sheetData>
    <row r="1" spans="1:12" ht="18" x14ac:dyDescent="0.35">
      <c r="A1" s="32" t="s">
        <v>163</v>
      </c>
    </row>
    <row r="2" spans="1:12" ht="15" thickBot="1" x14ac:dyDescent="0.35">
      <c r="A2" s="23"/>
    </row>
    <row r="3" spans="1:12" ht="28.8" x14ac:dyDescent="0.3">
      <c r="C3" s="45">
        <v>2016</v>
      </c>
      <c r="D3" s="45">
        <v>2017</v>
      </c>
      <c r="E3" s="45">
        <v>2018</v>
      </c>
      <c r="F3" s="45">
        <v>2019</v>
      </c>
      <c r="G3" s="45">
        <v>2020</v>
      </c>
      <c r="H3" s="45">
        <v>2021</v>
      </c>
      <c r="I3" s="45">
        <v>2022</v>
      </c>
      <c r="J3" s="33"/>
      <c r="K3" s="47" t="s">
        <v>152</v>
      </c>
      <c r="L3" s="44"/>
    </row>
    <row r="4" spans="1:12" x14ac:dyDescent="0.3">
      <c r="C4" s="46" t="s">
        <v>27</v>
      </c>
      <c r="D4" s="46" t="s">
        <v>28</v>
      </c>
      <c r="E4" s="46" t="s">
        <v>29</v>
      </c>
      <c r="F4" s="46" t="s">
        <v>37</v>
      </c>
      <c r="G4" s="46" t="s">
        <v>58</v>
      </c>
      <c r="H4" s="46" t="s">
        <v>58</v>
      </c>
      <c r="I4" s="46" t="s">
        <v>58</v>
      </c>
      <c r="K4" s="48" t="s">
        <v>162</v>
      </c>
      <c r="L4" s="44"/>
    </row>
    <row r="5" spans="1:12" x14ac:dyDescent="0.3">
      <c r="A5" t="s">
        <v>22</v>
      </c>
      <c r="C5" s="34"/>
      <c r="D5" s="34"/>
      <c r="E5" s="34"/>
      <c r="F5" s="34"/>
      <c r="G5" s="34"/>
      <c r="H5" s="34"/>
      <c r="I5" s="34"/>
      <c r="K5" s="49"/>
    </row>
    <row r="6" spans="1:12" x14ac:dyDescent="0.3">
      <c r="B6" t="s">
        <v>30</v>
      </c>
      <c r="C6" s="34">
        <v>10575</v>
      </c>
      <c r="D6" s="34">
        <v>20990</v>
      </c>
      <c r="E6" s="34">
        <v>13425</v>
      </c>
      <c r="F6" s="34">
        <v>26043</v>
      </c>
      <c r="G6" s="34">
        <v>15620</v>
      </c>
      <c r="H6" s="34">
        <v>13705</v>
      </c>
      <c r="I6" s="34">
        <v>18550</v>
      </c>
      <c r="K6" s="49">
        <v>18000</v>
      </c>
      <c r="L6" s="2"/>
    </row>
    <row r="7" spans="1:12" x14ac:dyDescent="0.3">
      <c r="B7" t="s">
        <v>31</v>
      </c>
      <c r="C7" s="34">
        <v>9500</v>
      </c>
      <c r="D7" s="34">
        <v>15000</v>
      </c>
      <c r="E7" s="34">
        <v>12000</v>
      </c>
      <c r="F7" s="34">
        <v>25900.6</v>
      </c>
      <c r="G7" s="34">
        <v>5000</v>
      </c>
      <c r="H7" s="34">
        <v>25000</v>
      </c>
      <c r="I7" s="34">
        <v>15000</v>
      </c>
      <c r="K7" s="49">
        <v>25000</v>
      </c>
      <c r="L7" s="2"/>
    </row>
    <row r="8" spans="1:12" ht="15" thickBot="1" x14ac:dyDescent="0.35">
      <c r="B8" t="s">
        <v>48</v>
      </c>
      <c r="C8" s="35">
        <v>935.02</v>
      </c>
      <c r="D8" s="35">
        <v>0</v>
      </c>
      <c r="E8" s="35">
        <v>0</v>
      </c>
      <c r="F8" s="35">
        <v>1045</v>
      </c>
      <c r="G8" s="35">
        <v>0</v>
      </c>
      <c r="H8" s="35">
        <v>795</v>
      </c>
      <c r="I8" s="35"/>
      <c r="K8" s="50">
        <v>0</v>
      </c>
      <c r="L8" s="2"/>
    </row>
    <row r="9" spans="1:12" x14ac:dyDescent="0.3">
      <c r="C9" s="34">
        <f t="shared" ref="C9:I9" si="0">SUM(C6:C8)</f>
        <v>21010.02</v>
      </c>
      <c r="D9" s="34">
        <f t="shared" si="0"/>
        <v>35990</v>
      </c>
      <c r="E9" s="34">
        <f t="shared" si="0"/>
        <v>25425</v>
      </c>
      <c r="F9" s="34">
        <f t="shared" si="0"/>
        <v>52988.6</v>
      </c>
      <c r="G9" s="34">
        <f t="shared" si="0"/>
        <v>20620</v>
      </c>
      <c r="H9" s="34">
        <f t="shared" si="0"/>
        <v>39500</v>
      </c>
      <c r="I9" s="34">
        <f t="shared" si="0"/>
        <v>33550</v>
      </c>
      <c r="K9" s="49">
        <f>SUM(K6:K8)</f>
        <v>43000</v>
      </c>
    </row>
    <row r="10" spans="1:12" x14ac:dyDescent="0.3">
      <c r="C10" s="34"/>
      <c r="D10" s="34"/>
      <c r="E10" s="34"/>
      <c r="F10" s="34"/>
      <c r="G10" s="34"/>
      <c r="H10" s="34"/>
      <c r="I10" s="34"/>
      <c r="K10" s="49"/>
    </row>
    <row r="11" spans="1:12" x14ac:dyDescent="0.3">
      <c r="A11" t="s">
        <v>49</v>
      </c>
      <c r="C11" s="34"/>
      <c r="D11" s="34"/>
      <c r="E11" s="34"/>
      <c r="F11" s="34"/>
      <c r="G11" s="34"/>
      <c r="H11" s="34"/>
      <c r="I11" s="34"/>
      <c r="K11" s="49"/>
    </row>
    <row r="12" spans="1:12" x14ac:dyDescent="0.3">
      <c r="B12" t="s">
        <v>32</v>
      </c>
      <c r="C12" s="34">
        <v>350</v>
      </c>
      <c r="D12" s="34"/>
      <c r="E12" s="34">
        <v>300</v>
      </c>
      <c r="F12" s="34">
        <v>650</v>
      </c>
      <c r="G12" s="34"/>
      <c r="H12" s="34"/>
      <c r="I12" s="34">
        <v>695</v>
      </c>
      <c r="K12" s="49">
        <v>700</v>
      </c>
    </row>
    <row r="13" spans="1:12" x14ac:dyDescent="0.3">
      <c r="B13" t="s">
        <v>34</v>
      </c>
      <c r="C13" s="34">
        <v>7725.6</v>
      </c>
      <c r="D13" s="34">
        <v>21170.3</v>
      </c>
      <c r="E13" s="34">
        <v>9294.18</v>
      </c>
      <c r="F13" s="34">
        <v>8559.3700000000008</v>
      </c>
      <c r="G13" s="34"/>
      <c r="H13" s="34"/>
      <c r="I13" s="34"/>
      <c r="K13" s="111">
        <v>9000</v>
      </c>
      <c r="L13" s="43"/>
    </row>
    <row r="14" spans="1:12" x14ac:dyDescent="0.3">
      <c r="B14" t="s">
        <v>50</v>
      </c>
      <c r="C14" s="34">
        <v>3675</v>
      </c>
      <c r="D14" s="34">
        <v>4555.3999999999996</v>
      </c>
      <c r="E14" s="34">
        <v>5118.66</v>
      </c>
      <c r="F14" s="34">
        <v>0</v>
      </c>
      <c r="G14" s="34">
        <v>2720</v>
      </c>
      <c r="H14" s="34"/>
      <c r="I14" s="34">
        <v>53.47</v>
      </c>
      <c r="K14" s="49">
        <v>4000</v>
      </c>
    </row>
    <row r="15" spans="1:12" x14ac:dyDescent="0.3">
      <c r="B15" t="s">
        <v>51</v>
      </c>
      <c r="C15" s="34">
        <v>2250</v>
      </c>
      <c r="D15" s="34">
        <v>3500</v>
      </c>
      <c r="E15" s="34"/>
      <c r="F15" s="34">
        <v>4427.5600000000004</v>
      </c>
      <c r="G15" s="34">
        <v>250</v>
      </c>
      <c r="H15" s="34"/>
      <c r="I15" s="34">
        <v>250</v>
      </c>
      <c r="K15" s="49">
        <v>2500</v>
      </c>
    </row>
    <row r="16" spans="1:12" x14ac:dyDescent="0.3">
      <c r="B16" t="s">
        <v>33</v>
      </c>
      <c r="C16" s="34"/>
      <c r="D16" s="34"/>
      <c r="E16" s="34">
        <v>383.3</v>
      </c>
      <c r="F16" s="34">
        <v>761.73</v>
      </c>
      <c r="G16" s="34">
        <v>341.84</v>
      </c>
      <c r="H16" s="34">
        <v>398</v>
      </c>
      <c r="I16" s="34">
        <v>594.65</v>
      </c>
      <c r="K16" s="49">
        <v>600</v>
      </c>
    </row>
    <row r="17" spans="1:12" x14ac:dyDescent="0.3">
      <c r="B17" t="s">
        <v>26</v>
      </c>
      <c r="C17" s="34"/>
      <c r="D17" s="34"/>
      <c r="E17" s="34">
        <v>0</v>
      </c>
      <c r="F17" s="34">
        <v>16000</v>
      </c>
      <c r="G17" s="34">
        <v>15000</v>
      </c>
      <c r="H17" s="34">
        <v>21850</v>
      </c>
      <c r="I17" s="34">
        <v>20900</v>
      </c>
      <c r="K17" s="49">
        <v>18050</v>
      </c>
      <c r="L17"/>
    </row>
    <row r="18" spans="1:12" x14ac:dyDescent="0.3">
      <c r="B18" t="s">
        <v>52</v>
      </c>
      <c r="C18" s="34">
        <f>671.84+618.9</f>
        <v>1290.74</v>
      </c>
      <c r="D18" s="34"/>
      <c r="E18" s="34">
        <v>31.5</v>
      </c>
      <c r="F18" s="34">
        <v>519.82000000000005</v>
      </c>
      <c r="G18" s="34"/>
      <c r="H18" s="34"/>
      <c r="I18" s="34"/>
      <c r="K18" s="49">
        <v>500</v>
      </c>
    </row>
    <row r="19" spans="1:12" x14ac:dyDescent="0.3">
      <c r="B19" t="s">
        <v>53</v>
      </c>
      <c r="C19" s="34">
        <v>1317.97</v>
      </c>
      <c r="D19" s="34"/>
      <c r="E19" s="34">
        <v>896.88</v>
      </c>
      <c r="F19" s="34">
        <v>3671.81</v>
      </c>
      <c r="G19" s="34"/>
      <c r="H19" s="34"/>
      <c r="I19" s="34"/>
      <c r="K19" s="49">
        <v>3500</v>
      </c>
    </row>
    <row r="20" spans="1:12" x14ac:dyDescent="0.3">
      <c r="B20" t="s">
        <v>48</v>
      </c>
      <c r="C20" s="34">
        <v>816.98</v>
      </c>
      <c r="D20" s="34"/>
      <c r="E20" s="34">
        <v>0</v>
      </c>
      <c r="F20" s="34">
        <f>1250+1858.8</f>
        <v>3108.8</v>
      </c>
      <c r="G20" s="34"/>
      <c r="H20" s="34"/>
      <c r="I20" s="34"/>
      <c r="K20" s="49">
        <v>0</v>
      </c>
    </row>
    <row r="21" spans="1:12" ht="15" thickBot="1" x14ac:dyDescent="0.35">
      <c r="B21" t="s">
        <v>54</v>
      </c>
      <c r="C21" s="35"/>
      <c r="D21" s="35"/>
      <c r="E21" s="35">
        <v>0</v>
      </c>
      <c r="F21" s="35">
        <v>0</v>
      </c>
      <c r="G21" s="35"/>
      <c r="H21" s="35"/>
      <c r="I21" s="35"/>
      <c r="K21" s="50">
        <v>0</v>
      </c>
    </row>
    <row r="22" spans="1:12" x14ac:dyDescent="0.3">
      <c r="C22" s="36">
        <f t="shared" ref="C22:I22" si="1">SUM(C12:C21)</f>
        <v>17426.29</v>
      </c>
      <c r="D22" s="36">
        <f t="shared" si="1"/>
        <v>29225.699999999997</v>
      </c>
      <c r="E22" s="36">
        <f t="shared" si="1"/>
        <v>16024.519999999999</v>
      </c>
      <c r="F22" s="36">
        <f t="shared" si="1"/>
        <v>37699.090000000004</v>
      </c>
      <c r="G22" s="36">
        <f t="shared" si="1"/>
        <v>18311.84</v>
      </c>
      <c r="H22" s="36">
        <f t="shared" ref="H22" si="2">SUM(H12:H21)</f>
        <v>22248</v>
      </c>
      <c r="I22" s="36">
        <f t="shared" si="1"/>
        <v>22493.119999999999</v>
      </c>
      <c r="K22" s="51">
        <f>SUM(K12:K21)</f>
        <v>38850</v>
      </c>
    </row>
    <row r="23" spans="1:12" ht="31.95" customHeight="1" thickBot="1" x14ac:dyDescent="0.35">
      <c r="A23" t="s">
        <v>35</v>
      </c>
      <c r="C23" s="37">
        <f t="shared" ref="C23:I23" si="3">C9-C22</f>
        <v>3583.7299999999996</v>
      </c>
      <c r="D23" s="37">
        <f t="shared" si="3"/>
        <v>6764.3000000000029</v>
      </c>
      <c r="E23" s="37">
        <f t="shared" si="3"/>
        <v>9400.4800000000014</v>
      </c>
      <c r="F23" s="37">
        <f t="shared" si="3"/>
        <v>15289.509999999995</v>
      </c>
      <c r="G23" s="37">
        <f t="shared" si="3"/>
        <v>2308.16</v>
      </c>
      <c r="H23" s="37">
        <f t="shared" ref="H23" si="4">H9-H22</f>
        <v>17252</v>
      </c>
      <c r="I23" s="37">
        <f t="shared" si="3"/>
        <v>11056.880000000001</v>
      </c>
      <c r="K23" s="52">
        <f>K9-K22</f>
        <v>4150</v>
      </c>
    </row>
    <row r="24" spans="1:12" ht="15" thickTop="1" x14ac:dyDescent="0.3">
      <c r="A24" s="41"/>
    </row>
  </sheetData>
  <pageMargins left="0.45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7"/>
  <sheetViews>
    <sheetView topLeftCell="A15" workbookViewId="0">
      <selection activeCell="B31" sqref="B31"/>
    </sheetView>
  </sheetViews>
  <sheetFormatPr defaultRowHeight="14.4" x14ac:dyDescent="0.3"/>
  <cols>
    <col min="1" max="1" width="53.6640625" bestFit="1" customWidth="1"/>
    <col min="2" max="2" width="14" style="1" customWidth="1"/>
  </cols>
  <sheetData>
    <row r="1" spans="1:2" ht="21" x14ac:dyDescent="0.4">
      <c r="A1" s="54" t="s">
        <v>59</v>
      </c>
      <c r="B1" s="68"/>
    </row>
    <row r="2" spans="1:2" x14ac:dyDescent="0.3">
      <c r="A2" s="55" t="s">
        <v>60</v>
      </c>
      <c r="B2" s="58">
        <v>80000</v>
      </c>
    </row>
    <row r="3" spans="1:2" x14ac:dyDescent="0.3">
      <c r="A3" s="55"/>
      <c r="B3" s="58"/>
    </row>
    <row r="4" spans="1:2" x14ac:dyDescent="0.3">
      <c r="A4" s="55" t="s">
        <v>83</v>
      </c>
      <c r="B4" s="58">
        <v>2805</v>
      </c>
    </row>
    <row r="5" spans="1:2" x14ac:dyDescent="0.3">
      <c r="A5" s="55" t="s">
        <v>84</v>
      </c>
      <c r="B5" s="59">
        <v>552.5</v>
      </c>
    </row>
    <row r="6" spans="1:2" x14ac:dyDescent="0.3">
      <c r="A6" s="67" t="s">
        <v>89</v>
      </c>
      <c r="B6" s="58">
        <f>SUM(B4:B5)</f>
        <v>3357.5</v>
      </c>
    </row>
    <row r="7" spans="1:2" x14ac:dyDescent="0.3">
      <c r="A7" s="55"/>
      <c r="B7" s="58"/>
    </row>
    <row r="8" spans="1:2" x14ac:dyDescent="0.3">
      <c r="A8" s="55" t="s">
        <v>85</v>
      </c>
      <c r="B8" s="58">
        <v>1700</v>
      </c>
    </row>
    <row r="9" spans="1:2" x14ac:dyDescent="0.3">
      <c r="A9" s="55" t="s">
        <v>86</v>
      </c>
      <c r="B9" s="58">
        <v>4175</v>
      </c>
    </row>
    <row r="10" spans="1:2" x14ac:dyDescent="0.3">
      <c r="A10" s="55" t="s">
        <v>87</v>
      </c>
      <c r="B10" s="58">
        <v>17812.11</v>
      </c>
    </row>
    <row r="11" spans="1:2" x14ac:dyDescent="0.3">
      <c r="A11" s="55" t="s">
        <v>88</v>
      </c>
      <c r="B11" s="59">
        <v>1810</v>
      </c>
    </row>
    <row r="12" spans="1:2" x14ac:dyDescent="0.3">
      <c r="A12" s="67" t="s">
        <v>90</v>
      </c>
      <c r="B12" s="58">
        <f>SUM(B8:B11)</f>
        <v>25497.11</v>
      </c>
    </row>
    <row r="13" spans="1:2" x14ac:dyDescent="0.3">
      <c r="A13" s="55"/>
      <c r="B13" s="58"/>
    </row>
    <row r="14" spans="1:2" x14ac:dyDescent="0.3">
      <c r="A14" s="55" t="s">
        <v>136</v>
      </c>
      <c r="B14" s="58">
        <v>956.25</v>
      </c>
    </row>
    <row r="15" spans="1:2" x14ac:dyDescent="0.3">
      <c r="A15" s="55" t="s">
        <v>137</v>
      </c>
      <c r="B15" s="58">
        <v>191.25</v>
      </c>
    </row>
    <row r="16" spans="1:2" x14ac:dyDescent="0.3">
      <c r="A16" s="55" t="s">
        <v>138</v>
      </c>
      <c r="B16" s="58">
        <v>14355.4</v>
      </c>
    </row>
    <row r="17" spans="1:2" x14ac:dyDescent="0.3">
      <c r="A17" s="55" t="s">
        <v>139</v>
      </c>
      <c r="B17" s="59">
        <v>0</v>
      </c>
    </row>
    <row r="18" spans="1:2" x14ac:dyDescent="0.3">
      <c r="A18" s="67" t="s">
        <v>144</v>
      </c>
      <c r="B18" s="58">
        <f>SUM(B14:B17)</f>
        <v>15502.9</v>
      </c>
    </row>
    <row r="19" spans="1:2" x14ac:dyDescent="0.3">
      <c r="A19" s="55"/>
      <c r="B19" s="58"/>
    </row>
    <row r="20" spans="1:2" x14ac:dyDescent="0.3">
      <c r="A20" s="55" t="s">
        <v>154</v>
      </c>
      <c r="B20" s="58">
        <v>1105</v>
      </c>
    </row>
    <row r="21" spans="1:2" x14ac:dyDescent="0.3">
      <c r="A21" s="55" t="s">
        <v>155</v>
      </c>
      <c r="B21" s="58">
        <v>42.5</v>
      </c>
    </row>
    <row r="22" spans="1:2" x14ac:dyDescent="0.3">
      <c r="A22" s="55" t="s">
        <v>156</v>
      </c>
      <c r="B22" s="58">
        <v>9037.82</v>
      </c>
    </row>
    <row r="23" spans="1:2" x14ac:dyDescent="0.3">
      <c r="A23" s="55" t="s">
        <v>157</v>
      </c>
      <c r="B23" s="59">
        <v>0</v>
      </c>
    </row>
    <row r="24" spans="1:2" x14ac:dyDescent="0.3">
      <c r="A24" s="67" t="s">
        <v>158</v>
      </c>
      <c r="B24" s="58">
        <f>SUM(B20:B23)</f>
        <v>10185.32</v>
      </c>
    </row>
    <row r="25" spans="1:2" x14ac:dyDescent="0.3">
      <c r="A25" s="55"/>
      <c r="B25" s="58"/>
    </row>
    <row r="26" spans="1:2" x14ac:dyDescent="0.3">
      <c r="A26" s="56" t="s">
        <v>150</v>
      </c>
      <c r="B26" s="69">
        <f>B2-B6-B12-B18-B24</f>
        <v>25457.17</v>
      </c>
    </row>
    <row r="27" spans="1:2" ht="6.6" customHeight="1" x14ac:dyDescent="0.3">
      <c r="A27" s="55"/>
      <c r="B27" s="58"/>
    </row>
    <row r="28" spans="1:2" x14ac:dyDescent="0.3">
      <c r="A28" s="55"/>
      <c r="B28" s="57" t="s">
        <v>146</v>
      </c>
    </row>
    <row r="29" spans="1:2" x14ac:dyDescent="0.3">
      <c r="A29" s="55" t="s">
        <v>41</v>
      </c>
      <c r="B29" s="58">
        <f>B39</f>
        <v>500</v>
      </c>
    </row>
    <row r="30" spans="1:2" x14ac:dyDescent="0.3">
      <c r="A30" s="55" t="s">
        <v>61</v>
      </c>
      <c r="B30" s="58">
        <f>B50</f>
        <v>12800</v>
      </c>
    </row>
    <row r="31" spans="1:2" x14ac:dyDescent="0.3">
      <c r="A31" s="55" t="s">
        <v>62</v>
      </c>
      <c r="B31" s="58">
        <f>B58</f>
        <v>1017</v>
      </c>
    </row>
    <row r="32" spans="1:2" x14ac:dyDescent="0.3">
      <c r="A32" s="55" t="s">
        <v>63</v>
      </c>
      <c r="B32" s="59">
        <f>B67</f>
        <v>11140</v>
      </c>
    </row>
    <row r="33" spans="1:3" ht="15" thickBot="1" x14ac:dyDescent="0.35">
      <c r="A33" s="60"/>
      <c r="B33" s="61">
        <f>SUM(B29:B32)</f>
        <v>25457</v>
      </c>
      <c r="C33" s="40"/>
    </row>
    <row r="34" spans="1:3" x14ac:dyDescent="0.3">
      <c r="B34" s="53"/>
      <c r="C34" s="40"/>
    </row>
    <row r="35" spans="1:3" ht="18" x14ac:dyDescent="0.35">
      <c r="A35" s="32" t="s">
        <v>41</v>
      </c>
      <c r="B35"/>
    </row>
    <row r="36" spans="1:3" x14ac:dyDescent="0.3">
      <c r="A36" t="s">
        <v>64</v>
      </c>
      <c r="B36" s="62" t="s">
        <v>146</v>
      </c>
    </row>
    <row r="37" spans="1:3" x14ac:dyDescent="0.3">
      <c r="B37" s="63" t="s">
        <v>160</v>
      </c>
    </row>
    <row r="38" spans="1:3" x14ac:dyDescent="0.3">
      <c r="A38" t="s">
        <v>141</v>
      </c>
      <c r="B38" s="65">
        <v>500</v>
      </c>
    </row>
    <row r="39" spans="1:3" x14ac:dyDescent="0.3">
      <c r="A39" t="s">
        <v>66</v>
      </c>
      <c r="B39" s="66">
        <f>SUM(B38:B38)</f>
        <v>500</v>
      </c>
    </row>
    <row r="40" spans="1:3" x14ac:dyDescent="0.3">
      <c r="B40"/>
    </row>
    <row r="41" spans="1:3" ht="18" x14ac:dyDescent="0.35">
      <c r="A41" s="32" t="s">
        <v>67</v>
      </c>
      <c r="B41"/>
    </row>
    <row r="42" spans="1:3" ht="14.4" customHeight="1" x14ac:dyDescent="0.3">
      <c r="B42"/>
    </row>
    <row r="43" spans="1:3" x14ac:dyDescent="0.3">
      <c r="A43" t="s">
        <v>68</v>
      </c>
      <c r="B43" s="62" t="s">
        <v>146</v>
      </c>
    </row>
    <row r="44" spans="1:3" x14ac:dyDescent="0.3">
      <c r="B44" s="63" t="s">
        <v>159</v>
      </c>
    </row>
    <row r="45" spans="1:3" x14ac:dyDescent="0.3">
      <c r="A45" t="s">
        <v>95</v>
      </c>
      <c r="B45" s="64">
        <v>4000</v>
      </c>
    </row>
    <row r="46" spans="1:3" x14ac:dyDescent="0.3">
      <c r="A46" t="s">
        <v>69</v>
      </c>
      <c r="B46" s="64">
        <v>4000</v>
      </c>
    </row>
    <row r="47" spans="1:3" x14ac:dyDescent="0.3">
      <c r="A47" t="s">
        <v>70</v>
      </c>
      <c r="B47" s="64">
        <v>800</v>
      </c>
    </row>
    <row r="48" spans="1:3" x14ac:dyDescent="0.3">
      <c r="A48" t="s">
        <v>71</v>
      </c>
      <c r="B48" s="64">
        <v>0</v>
      </c>
    </row>
    <row r="49" spans="1:2" x14ac:dyDescent="0.3">
      <c r="A49" t="s">
        <v>72</v>
      </c>
      <c r="B49" s="65">
        <v>4000</v>
      </c>
    </row>
    <row r="50" spans="1:2" x14ac:dyDescent="0.3">
      <c r="B50" s="66">
        <f>SUM(B45:B49)</f>
        <v>12800</v>
      </c>
    </row>
    <row r="51" spans="1:2" x14ac:dyDescent="0.3">
      <c r="B51"/>
    </row>
    <row r="52" spans="1:2" ht="18" customHeight="1" x14ac:dyDescent="0.35">
      <c r="A52" s="32" t="s">
        <v>73</v>
      </c>
      <c r="B52"/>
    </row>
    <row r="53" spans="1:2" x14ac:dyDescent="0.3">
      <c r="A53" t="s">
        <v>74</v>
      </c>
      <c r="B53" s="62" t="s">
        <v>146</v>
      </c>
    </row>
    <row r="54" spans="1:2" x14ac:dyDescent="0.3">
      <c r="B54" s="66" t="s">
        <v>161</v>
      </c>
    </row>
    <row r="55" spans="1:2" x14ac:dyDescent="0.3">
      <c r="A55" t="s">
        <v>75</v>
      </c>
      <c r="B55" s="64"/>
    </row>
    <row r="56" spans="1:2" x14ac:dyDescent="0.3">
      <c r="A56" t="s">
        <v>76</v>
      </c>
      <c r="B56" s="64">
        <v>67</v>
      </c>
    </row>
    <row r="57" spans="1:2" x14ac:dyDescent="0.3">
      <c r="A57" t="s">
        <v>142</v>
      </c>
      <c r="B57" s="65">
        <v>950</v>
      </c>
    </row>
    <row r="58" spans="1:2" x14ac:dyDescent="0.3">
      <c r="B58" s="66">
        <f>SUM(B55:B57)</f>
        <v>1017</v>
      </c>
    </row>
    <row r="59" spans="1:2" x14ac:dyDescent="0.3">
      <c r="B59"/>
    </row>
    <row r="60" spans="1:2" ht="18" customHeight="1" x14ac:dyDescent="0.35">
      <c r="A60" s="32" t="s">
        <v>77</v>
      </c>
      <c r="B60"/>
    </row>
    <row r="61" spans="1:2" x14ac:dyDescent="0.3">
      <c r="B61" s="62" t="s">
        <v>146</v>
      </c>
    </row>
    <row r="62" spans="1:2" x14ac:dyDescent="0.3">
      <c r="A62" t="s">
        <v>78</v>
      </c>
      <c r="B62" s="64">
        <v>4250</v>
      </c>
    </row>
    <row r="63" spans="1:2" x14ac:dyDescent="0.3">
      <c r="A63" t="s">
        <v>79</v>
      </c>
      <c r="B63" s="64">
        <v>210</v>
      </c>
    </row>
    <row r="64" spans="1:2" x14ac:dyDescent="0.3">
      <c r="A64" t="s">
        <v>80</v>
      </c>
      <c r="B64" s="64">
        <v>2500</v>
      </c>
    </row>
    <row r="65" spans="1:2" x14ac:dyDescent="0.3">
      <c r="A65" t="s">
        <v>63</v>
      </c>
      <c r="B65" s="64">
        <v>2180</v>
      </c>
    </row>
    <row r="66" spans="1:2" x14ac:dyDescent="0.3">
      <c r="A66" t="s">
        <v>81</v>
      </c>
      <c r="B66" s="65">
        <v>2000</v>
      </c>
    </row>
    <row r="67" spans="1:2" x14ac:dyDescent="0.3">
      <c r="A67" t="s">
        <v>82</v>
      </c>
      <c r="B67" s="66">
        <f>SUM(B62:B66)</f>
        <v>11140</v>
      </c>
    </row>
  </sheetData>
  <pageMargins left="0.7" right="0.7" top="0.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9"/>
  <sheetViews>
    <sheetView topLeftCell="A31" workbookViewId="0">
      <selection activeCell="E58" sqref="E58"/>
    </sheetView>
  </sheetViews>
  <sheetFormatPr defaultRowHeight="14.4" x14ac:dyDescent="0.3"/>
  <cols>
    <col min="1" max="1" width="50.44140625" customWidth="1"/>
    <col min="2" max="2" width="14.44140625" style="1" customWidth="1"/>
    <col min="3" max="3" width="21.5546875" customWidth="1"/>
    <col min="4" max="4" width="2.88671875" customWidth="1"/>
    <col min="5" max="5" width="14.109375" bestFit="1" customWidth="1"/>
    <col min="6" max="6" width="12.109375" bestFit="1" customWidth="1"/>
  </cols>
  <sheetData>
    <row r="1" spans="1:11" ht="21" x14ac:dyDescent="0.4">
      <c r="A1" s="70" t="s">
        <v>99</v>
      </c>
      <c r="B1" s="53"/>
    </row>
    <row r="2" spans="1:11" x14ac:dyDescent="0.3">
      <c r="A2" s="71" t="s">
        <v>100</v>
      </c>
      <c r="B2" s="72"/>
    </row>
    <row r="3" spans="1:11" x14ac:dyDescent="0.3">
      <c r="A3" s="73" t="s">
        <v>60</v>
      </c>
      <c r="B3" s="74">
        <f>12645+100035</f>
        <v>112680</v>
      </c>
      <c r="C3" s="104"/>
    </row>
    <row r="4" spans="1:11" x14ac:dyDescent="0.3">
      <c r="A4" s="75" t="s">
        <v>101</v>
      </c>
      <c r="B4" s="76">
        <v>12645</v>
      </c>
    </row>
    <row r="5" spans="1:11" x14ac:dyDescent="0.3">
      <c r="A5" s="73" t="s">
        <v>102</v>
      </c>
      <c r="B5" s="74">
        <f>B3-B4</f>
        <v>100035</v>
      </c>
    </row>
    <row r="6" spans="1:11" x14ac:dyDescent="0.3">
      <c r="A6" s="75" t="s">
        <v>103</v>
      </c>
      <c r="B6" s="77">
        <f>B34</f>
        <v>43619.5</v>
      </c>
    </row>
    <row r="7" spans="1:11" ht="15.75" customHeight="1" x14ac:dyDescent="0.3">
      <c r="A7" s="73" t="s">
        <v>91</v>
      </c>
      <c r="B7" s="74">
        <f>B5-B6</f>
        <v>56415.5</v>
      </c>
    </row>
    <row r="8" spans="1:11" ht="15.75" customHeight="1" x14ac:dyDescent="0.3">
      <c r="A8" s="75" t="s">
        <v>143</v>
      </c>
      <c r="B8" s="77">
        <f>B44</f>
        <v>4495.57</v>
      </c>
    </row>
    <row r="9" spans="1:11" ht="15.75" customHeight="1" x14ac:dyDescent="0.3">
      <c r="A9" s="73" t="s">
        <v>140</v>
      </c>
      <c r="B9" s="74">
        <f>B7-B8</f>
        <v>51919.93</v>
      </c>
    </row>
    <row r="10" spans="1:11" ht="15.75" customHeight="1" x14ac:dyDescent="0.3">
      <c r="A10" s="110" t="s">
        <v>149</v>
      </c>
      <c r="B10" s="76">
        <f>B48</f>
        <v>297.5</v>
      </c>
    </row>
    <row r="11" spans="1:11" ht="15.75" customHeight="1" x14ac:dyDescent="0.3">
      <c r="A11" s="78" t="s">
        <v>150</v>
      </c>
      <c r="B11" s="79">
        <f>B9-B10</f>
        <v>51622.43</v>
      </c>
    </row>
    <row r="12" spans="1:11" x14ac:dyDescent="0.3">
      <c r="B12" s="53"/>
    </row>
    <row r="13" spans="1:11" ht="16.95" customHeight="1" x14ac:dyDescent="0.3">
      <c r="A13" s="80" t="s">
        <v>104</v>
      </c>
      <c r="B13" s="81" t="s">
        <v>153</v>
      </c>
      <c r="C13" s="82" t="s">
        <v>152</v>
      </c>
      <c r="D13" s="82"/>
    </row>
    <row r="14" spans="1:11" ht="16.95" customHeight="1" x14ac:dyDescent="0.3">
      <c r="A14" s="83" t="s">
        <v>105</v>
      </c>
      <c r="B14" s="84"/>
      <c r="C14" s="85">
        <v>0</v>
      </c>
      <c r="D14" s="86"/>
      <c r="K14" s="40"/>
    </row>
    <row r="15" spans="1:11" ht="16.95" customHeight="1" x14ac:dyDescent="0.3">
      <c r="A15" s="87" t="s">
        <v>106</v>
      </c>
      <c r="B15" s="84"/>
      <c r="C15" s="88">
        <v>0</v>
      </c>
      <c r="D15" s="89"/>
      <c r="K15" s="40"/>
    </row>
    <row r="16" spans="1:11" ht="16.95" customHeight="1" x14ac:dyDescent="0.3">
      <c r="A16" s="83" t="s">
        <v>107</v>
      </c>
      <c r="B16" s="84"/>
      <c r="C16" s="88">
        <v>7200</v>
      </c>
      <c r="D16" s="89"/>
      <c r="K16" s="40"/>
    </row>
    <row r="17" spans="1:11" x14ac:dyDescent="0.3">
      <c r="A17" s="83" t="s">
        <v>108</v>
      </c>
      <c r="B17" s="84"/>
      <c r="C17" s="85">
        <v>8520</v>
      </c>
      <c r="D17" s="86"/>
      <c r="K17" s="40"/>
    </row>
    <row r="18" spans="1:11" ht="16.95" customHeight="1" x14ac:dyDescent="0.3">
      <c r="A18" s="83" t="s">
        <v>109</v>
      </c>
      <c r="B18" s="84"/>
      <c r="C18" s="85">
        <v>5300</v>
      </c>
      <c r="D18" s="86"/>
      <c r="K18" s="40"/>
    </row>
    <row r="19" spans="1:11" ht="16.95" customHeight="1" x14ac:dyDescent="0.3">
      <c r="A19" s="83" t="s">
        <v>110</v>
      </c>
      <c r="B19" s="84"/>
      <c r="C19" s="85">
        <f>20479-B48-B44-0.5</f>
        <v>15685.43</v>
      </c>
      <c r="D19" s="86"/>
      <c r="K19" s="40"/>
    </row>
    <row r="20" spans="1:11" ht="16.95" customHeight="1" x14ac:dyDescent="0.3">
      <c r="A20" s="83" t="s">
        <v>111</v>
      </c>
      <c r="B20" s="84"/>
      <c r="C20" s="85">
        <f>56416-41499</f>
        <v>14917</v>
      </c>
      <c r="D20" s="86"/>
      <c r="K20" s="40"/>
    </row>
    <row r="21" spans="1:11" x14ac:dyDescent="0.3">
      <c r="A21" s="80" t="s">
        <v>112</v>
      </c>
      <c r="B21" s="90">
        <f>SUM(B14:B20)</f>
        <v>0</v>
      </c>
      <c r="C21" s="90">
        <f>SUM(C14:C20)</f>
        <v>51622.43</v>
      </c>
      <c r="D21" s="90"/>
      <c r="K21" s="40"/>
    </row>
    <row r="23" spans="1:11" x14ac:dyDescent="0.3">
      <c r="A23" s="23" t="s">
        <v>113</v>
      </c>
    </row>
    <row r="24" spans="1:11" x14ac:dyDescent="0.3">
      <c r="A24" t="s">
        <v>114</v>
      </c>
      <c r="B24" s="105">
        <v>12560</v>
      </c>
      <c r="C24" t="s">
        <v>115</v>
      </c>
    </row>
    <row r="25" spans="1:11" x14ac:dyDescent="0.3">
      <c r="A25" t="s">
        <v>116</v>
      </c>
      <c r="B25" s="106">
        <v>85</v>
      </c>
      <c r="C25" t="s">
        <v>117</v>
      </c>
    </row>
    <row r="26" spans="1:11" x14ac:dyDescent="0.3">
      <c r="A26" t="s">
        <v>118</v>
      </c>
      <c r="B26" s="105">
        <f>SUM(B24:B25)</f>
        <v>12645</v>
      </c>
    </row>
    <row r="27" spans="1:11" x14ac:dyDescent="0.3">
      <c r="B27" s="105"/>
    </row>
    <row r="28" spans="1:11" x14ac:dyDescent="0.3">
      <c r="A28" s="23" t="s">
        <v>119</v>
      </c>
      <c r="B28" s="105"/>
    </row>
    <row r="29" spans="1:11" x14ac:dyDescent="0.3">
      <c r="A29" t="s">
        <v>120</v>
      </c>
      <c r="B29" s="105">
        <v>13750</v>
      </c>
      <c r="C29" t="s">
        <v>121</v>
      </c>
    </row>
    <row r="30" spans="1:11" x14ac:dyDescent="0.3">
      <c r="A30" t="s">
        <v>122</v>
      </c>
      <c r="B30" s="105">
        <f>170+255+680+1360+42.5</f>
        <v>2507.5</v>
      </c>
      <c r="C30" t="s">
        <v>117</v>
      </c>
    </row>
    <row r="31" spans="1:11" x14ac:dyDescent="0.3">
      <c r="A31" t="s">
        <v>123</v>
      </c>
      <c r="B31" s="105">
        <v>12560</v>
      </c>
      <c r="C31" t="s">
        <v>115</v>
      </c>
    </row>
    <row r="32" spans="1:11" x14ac:dyDescent="0.3">
      <c r="A32" t="s">
        <v>124</v>
      </c>
      <c r="B32" s="105">
        <v>12560</v>
      </c>
      <c r="C32" t="s">
        <v>115</v>
      </c>
    </row>
    <row r="33" spans="1:6" ht="30.75" customHeight="1" x14ac:dyDescent="0.3">
      <c r="A33" t="s">
        <v>125</v>
      </c>
      <c r="B33" s="91">
        <f>228+2014</f>
        <v>2242</v>
      </c>
      <c r="C33" s="39" t="s">
        <v>126</v>
      </c>
      <c r="D33" s="39"/>
    </row>
    <row r="34" spans="1:6" x14ac:dyDescent="0.3">
      <c r="B34" s="1">
        <f>SUM(B29:B33)</f>
        <v>43619.5</v>
      </c>
      <c r="C34" s="92"/>
    </row>
    <row r="35" spans="1:6" ht="4.5" customHeight="1" x14ac:dyDescent="0.3"/>
    <row r="36" spans="1:6" x14ac:dyDescent="0.3">
      <c r="A36" s="23" t="s">
        <v>127</v>
      </c>
    </row>
    <row r="37" spans="1:6" x14ac:dyDescent="0.3">
      <c r="A37" t="s">
        <v>128</v>
      </c>
      <c r="B37" s="1">
        <v>191.25</v>
      </c>
      <c r="C37" t="s">
        <v>117</v>
      </c>
    </row>
    <row r="38" spans="1:6" x14ac:dyDescent="0.3">
      <c r="A38" t="s">
        <v>129</v>
      </c>
      <c r="B38" s="1">
        <v>510</v>
      </c>
      <c r="C38" t="s">
        <v>117</v>
      </c>
    </row>
    <row r="39" spans="1:6" x14ac:dyDescent="0.3">
      <c r="A39" t="s">
        <v>130</v>
      </c>
      <c r="B39" s="1">
        <v>680</v>
      </c>
      <c r="C39" t="s">
        <v>117</v>
      </c>
    </row>
    <row r="40" spans="1:6" x14ac:dyDescent="0.3">
      <c r="A40" t="s">
        <v>131</v>
      </c>
      <c r="B40" s="1">
        <v>170</v>
      </c>
      <c r="C40" t="s">
        <v>117</v>
      </c>
    </row>
    <row r="41" spans="1:6" x14ac:dyDescent="0.3">
      <c r="A41" t="s">
        <v>132</v>
      </c>
      <c r="B41" s="1">
        <v>142.5</v>
      </c>
      <c r="C41" t="s">
        <v>117</v>
      </c>
    </row>
    <row r="42" spans="1:6" ht="28.8" x14ac:dyDescent="0.3">
      <c r="A42" t="s">
        <v>125</v>
      </c>
      <c r="B42" s="53">
        <f>520+1601.82+680</f>
        <v>2801.8199999999997</v>
      </c>
      <c r="C42" s="39" t="s">
        <v>126</v>
      </c>
    </row>
    <row r="43" spans="1:6" ht="7.5" customHeight="1" x14ac:dyDescent="0.3">
      <c r="A43" s="23"/>
      <c r="B43" s="91"/>
    </row>
    <row r="44" spans="1:6" x14ac:dyDescent="0.3">
      <c r="A44" s="23"/>
      <c r="B44" s="1">
        <f>SUM(B37:B43)</f>
        <v>4495.57</v>
      </c>
      <c r="E44" s="40"/>
      <c r="F44" s="92"/>
    </row>
    <row r="45" spans="1:6" ht="6.75" customHeight="1" x14ac:dyDescent="0.3"/>
    <row r="46" spans="1:6" x14ac:dyDescent="0.3">
      <c r="A46" s="23" t="s">
        <v>151</v>
      </c>
      <c r="B46" s="105"/>
    </row>
    <row r="47" spans="1:6" x14ac:dyDescent="0.3">
      <c r="A47" t="s">
        <v>122</v>
      </c>
      <c r="B47" s="106">
        <v>297.5</v>
      </c>
      <c r="C47" t="s">
        <v>117</v>
      </c>
    </row>
    <row r="48" spans="1:6" x14ac:dyDescent="0.3">
      <c r="B48" s="1">
        <f>SUM(B47:B47)</f>
        <v>297.5</v>
      </c>
      <c r="C48" s="92"/>
    </row>
    <row r="49" spans="1:5" x14ac:dyDescent="0.3">
      <c r="C49" s="92"/>
    </row>
    <row r="50" spans="1:5" x14ac:dyDescent="0.3">
      <c r="A50" s="93" t="s">
        <v>104</v>
      </c>
      <c r="B50" s="94" t="s">
        <v>133</v>
      </c>
      <c r="C50" s="95" t="s">
        <v>134</v>
      </c>
    </row>
    <row r="51" spans="1:5" x14ac:dyDescent="0.3">
      <c r="A51" s="96" t="s">
        <v>105</v>
      </c>
      <c r="B51" s="92">
        <v>16660</v>
      </c>
      <c r="C51" s="97">
        <f>B24+B31+B32+B15</f>
        <v>37680</v>
      </c>
    </row>
    <row r="52" spans="1:5" x14ac:dyDescent="0.3">
      <c r="A52" s="98" t="s">
        <v>106</v>
      </c>
      <c r="B52" s="92">
        <v>25000</v>
      </c>
      <c r="C52" s="97">
        <f>B29+B15</f>
        <v>13750</v>
      </c>
    </row>
    <row r="53" spans="1:5" x14ac:dyDescent="0.3">
      <c r="A53" s="96" t="s">
        <v>107</v>
      </c>
      <c r="B53" s="92">
        <v>7200</v>
      </c>
      <c r="C53" s="97">
        <f>B16</f>
        <v>0</v>
      </c>
    </row>
    <row r="54" spans="1:5" x14ac:dyDescent="0.3">
      <c r="A54" s="96" t="s">
        <v>108</v>
      </c>
      <c r="B54" s="92">
        <v>8520</v>
      </c>
      <c r="C54" s="97">
        <f>B17</f>
        <v>0</v>
      </c>
    </row>
    <row r="55" spans="1:5" x14ac:dyDescent="0.3">
      <c r="A55" s="96" t="s">
        <v>109</v>
      </c>
      <c r="B55" s="92">
        <v>5300</v>
      </c>
      <c r="C55" s="97">
        <f>B18</f>
        <v>0</v>
      </c>
    </row>
    <row r="56" spans="1:5" x14ac:dyDescent="0.3">
      <c r="A56" s="96" t="s">
        <v>110</v>
      </c>
      <c r="B56" s="92">
        <v>25000</v>
      </c>
      <c r="C56" s="97">
        <f>B44+B33+B30+B25+B48</f>
        <v>9627.57</v>
      </c>
      <c r="E56" s="40"/>
    </row>
    <row r="57" spans="1:5" x14ac:dyDescent="0.3">
      <c r="A57" s="96" t="s">
        <v>111</v>
      </c>
      <c r="B57" s="99">
        <v>25000</v>
      </c>
      <c r="C57" s="100">
        <f>B20</f>
        <v>0</v>
      </c>
    </row>
    <row r="58" spans="1:5" x14ac:dyDescent="0.3">
      <c r="A58" s="101" t="s">
        <v>112</v>
      </c>
      <c r="B58" s="99">
        <f>SUM(B51:B57)</f>
        <v>112680</v>
      </c>
      <c r="C58" s="102">
        <f>SUM(C51:C57)</f>
        <v>61057.57</v>
      </c>
      <c r="E58" s="103"/>
    </row>
    <row r="59" spans="1:5" x14ac:dyDescent="0.3">
      <c r="C59" s="92"/>
      <c r="E59" s="103"/>
    </row>
  </sheetData>
  <pageMargins left="0.70866141732283472" right="0.70866141732283472" top="0.15748031496062992" bottom="0.15748031496062992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Budget23</vt:lpstr>
      <vt:lpstr>Conf23</vt:lpstr>
      <vt:lpstr>BayerMulti</vt:lpstr>
      <vt:lpstr>Bayer (CRR)</vt:lpstr>
      <vt:lpstr>BayerMulti!Print_Area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CPPO</cp:lastModifiedBy>
  <cp:lastPrinted>2023-01-17T21:55:36Z</cp:lastPrinted>
  <dcterms:created xsi:type="dcterms:W3CDTF">2017-12-12T18:31:22Z</dcterms:created>
  <dcterms:modified xsi:type="dcterms:W3CDTF">2023-01-17T21:55:47Z</dcterms:modified>
</cp:coreProperties>
</file>